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05" windowWidth="15480" windowHeight="9270" firstSheet="4" activeTab="5"/>
  </bookViews>
  <sheets>
    <sheet name="департ.соцзащита 2016" sheetId="3" r:id="rId1"/>
    <sheet name="департ.соцзащита 2017" sheetId="4" r:id="rId2"/>
    <sheet name="департ.соцзащ2017 (I полугодие)" sheetId="5" r:id="rId3"/>
    <sheet name="департ.соцзащ2017 (год)" sheetId="6" r:id="rId4"/>
    <sheet name="министерст.соцзащ 1 кв 2018" sheetId="7" r:id="rId5"/>
    <sheet name="министерст.соцзащ 1полугод 2018" sheetId="8" r:id="rId6"/>
  </sheets>
  <definedNames>
    <definedName name="_xlnm.Print_Titles" localSheetId="2">'департ.соцзащ2017 (I полугодие)'!$2:$2</definedName>
    <definedName name="_xlnm.Print_Titles" localSheetId="3">'департ.соцзащ2017 (год)'!$2:$2</definedName>
    <definedName name="_xlnm.Print_Titles" localSheetId="0">'департ.соцзащита 2016'!$2:$2</definedName>
    <definedName name="_xlnm.Print_Titles" localSheetId="1">'департ.соцзащита 2017'!$2:$2</definedName>
    <definedName name="_xlnm.Print_Titles" localSheetId="4">'министерст.соцзащ 1 кв 2018'!$2:$2</definedName>
    <definedName name="_xlnm.Print_Titles" localSheetId="5">'министерст.соцзащ 1полугод 2018'!$2:$2</definedName>
    <definedName name="_xlnm.Print_Area" localSheetId="2">'департ.соцзащ2017 (I полугодие)'!$A$1:$I$63</definedName>
    <definedName name="_xlnm.Print_Area" localSheetId="3">'департ.соцзащ2017 (год)'!$A$1:$I$97</definedName>
    <definedName name="_xlnm.Print_Area" localSheetId="0">'департ.соцзащита 2016'!$A$1:$F$62</definedName>
    <definedName name="_xlnm.Print_Area" localSheetId="1">'департ.соцзащита 2017'!$A$1:$I$63</definedName>
    <definedName name="_xlnm.Print_Area" localSheetId="4">'министерст.соцзащ 1 кв 2018'!$A$1:$I$93</definedName>
    <definedName name="_xlnm.Print_Area" localSheetId="5">'министерст.соцзащ 1полугод 2018'!$A$1:$I$93</definedName>
  </definedNames>
  <calcPr calcId="125725"/>
  <fileRecoveryPr repairLoad="1"/>
</workbook>
</file>

<file path=xl/calcChain.xml><?xml version="1.0" encoding="utf-8"?>
<calcChain xmlns="http://schemas.openxmlformats.org/spreadsheetml/2006/main">
  <c r="H9" i="8"/>
  <c r="H15"/>
  <c r="G16"/>
  <c r="G15"/>
  <c r="G25"/>
  <c r="H24"/>
  <c r="H92"/>
  <c r="H26"/>
  <c r="H31"/>
  <c r="H32"/>
  <c r="H28"/>
  <c r="H53"/>
  <c r="H61"/>
  <c r="H56"/>
  <c r="H69"/>
  <c r="G68"/>
  <c r="G82"/>
  <c r="G7"/>
  <c r="H7"/>
  <c r="H5"/>
  <c r="G5"/>
  <c r="G6"/>
  <c r="E74"/>
  <c r="D74"/>
  <c r="D73"/>
  <c r="G72"/>
  <c r="F72"/>
  <c r="E72"/>
  <c r="D72"/>
  <c r="H68"/>
  <c r="F68"/>
  <c r="E68"/>
  <c r="D68"/>
  <c r="E67"/>
  <c r="D67"/>
  <c r="D53" s="1"/>
  <c r="G61"/>
  <c r="G53"/>
  <c r="F53"/>
  <c r="E53"/>
  <c r="H42"/>
  <c r="G42"/>
  <c r="F42"/>
  <c r="G31"/>
  <c r="F31"/>
  <c r="F27" s="1"/>
  <c r="E31"/>
  <c r="D31"/>
  <c r="E29"/>
  <c r="D29"/>
  <c r="H27"/>
  <c r="E28"/>
  <c r="D28"/>
  <c r="G27"/>
  <c r="G20" s="1"/>
  <c r="E26"/>
  <c r="F25"/>
  <c r="E25"/>
  <c r="G24"/>
  <c r="F24"/>
  <c r="F20" s="1"/>
  <c r="E24"/>
  <c r="D24"/>
  <c r="E20"/>
  <c r="G17"/>
  <c r="E17"/>
  <c r="H14"/>
  <c r="D16"/>
  <c r="E15"/>
  <c r="E14" s="1"/>
  <c r="D15"/>
  <c r="D17" s="1"/>
  <c r="D14" s="1"/>
  <c r="D25" s="1"/>
  <c r="G14"/>
  <c r="F14"/>
  <c r="H8"/>
  <c r="G12"/>
  <c r="G8" s="1"/>
  <c r="F12"/>
  <c r="E12"/>
  <c r="D12"/>
  <c r="E11"/>
  <c r="D11"/>
  <c r="E10"/>
  <c r="D10"/>
  <c r="E9"/>
  <c r="D9"/>
  <c r="D13" s="1"/>
  <c r="D8" s="1"/>
  <c r="F8"/>
  <c r="E6"/>
  <c r="E7" s="1"/>
  <c r="D6"/>
  <c r="D7" s="1"/>
  <c r="D4" s="1"/>
  <c r="E5"/>
  <c r="D5"/>
  <c r="H4"/>
  <c r="F4"/>
  <c r="F93" s="1"/>
  <c r="H13" i="7"/>
  <c r="H24"/>
  <c r="H56"/>
  <c r="H32"/>
  <c r="H31"/>
  <c r="H29"/>
  <c r="H28"/>
  <c r="H17"/>
  <c r="H16"/>
  <c r="H15"/>
  <c r="H25"/>
  <c r="H69"/>
  <c r="H72"/>
  <c r="H7"/>
  <c r="H5"/>
  <c r="G61"/>
  <c r="H20" i="8" l="1"/>
  <c r="H93" s="1"/>
  <c r="G4"/>
  <c r="G93" s="1"/>
  <c r="D20"/>
  <c r="E4"/>
  <c r="D93"/>
  <c r="E13"/>
  <c r="E8" s="1"/>
  <c r="G14" i="7"/>
  <c r="G25"/>
  <c r="G17"/>
  <c r="G15"/>
  <c r="G68"/>
  <c r="G72"/>
  <c r="G7"/>
  <c r="G24"/>
  <c r="F25"/>
  <c r="F72"/>
  <c r="G31"/>
  <c r="F31"/>
  <c r="E93" i="8" l="1"/>
  <c r="F24" i="7"/>
  <c r="G12" l="1"/>
  <c r="E74" l="1"/>
  <c r="D74"/>
  <c r="D73"/>
  <c r="E72"/>
  <c r="D72"/>
  <c r="H68"/>
  <c r="F68"/>
  <c r="E68"/>
  <c r="D68"/>
  <c r="E67"/>
  <c r="D67"/>
  <c r="H53"/>
  <c r="G53"/>
  <c r="F53"/>
  <c r="E53"/>
  <c r="D53"/>
  <c r="H42"/>
  <c r="G42"/>
  <c r="F42"/>
  <c r="E31"/>
  <c r="D31"/>
  <c r="E29"/>
  <c r="D29"/>
  <c r="E28"/>
  <c r="D28"/>
  <c r="H27"/>
  <c r="G27"/>
  <c r="F27"/>
  <c r="E26"/>
  <c r="E25"/>
  <c r="E24"/>
  <c r="D24"/>
  <c r="E20"/>
  <c r="E17"/>
  <c r="D16"/>
  <c r="H14"/>
  <c r="F14"/>
  <c r="E15"/>
  <c r="D15"/>
  <c r="D17" s="1"/>
  <c r="D14" s="1"/>
  <c r="D25" s="1"/>
  <c r="D20" s="1"/>
  <c r="E14"/>
  <c r="F12"/>
  <c r="E12"/>
  <c r="D12"/>
  <c r="E11"/>
  <c r="D11"/>
  <c r="E10"/>
  <c r="D10"/>
  <c r="E9"/>
  <c r="E13" s="1"/>
  <c r="E8" s="1"/>
  <c r="D9"/>
  <c r="G8"/>
  <c r="F8"/>
  <c r="E6"/>
  <c r="E7" s="1"/>
  <c r="E4" s="1"/>
  <c r="E93" s="1"/>
  <c r="D6"/>
  <c r="H4"/>
  <c r="E5"/>
  <c r="D5"/>
  <c r="D7" s="1"/>
  <c r="D4" s="1"/>
  <c r="G4"/>
  <c r="F4"/>
  <c r="G66" i="6"/>
  <c r="G27"/>
  <c r="H27"/>
  <c r="F27"/>
  <c r="F42"/>
  <c r="H20"/>
  <c r="H97" s="1"/>
  <c r="F20"/>
  <c r="F97" s="1"/>
  <c r="I97" s="1"/>
  <c r="H13"/>
  <c r="H12"/>
  <c r="H11"/>
  <c r="H10"/>
  <c r="H9"/>
  <c r="G13"/>
  <c r="G12"/>
  <c r="G11"/>
  <c r="G10"/>
  <c r="G9"/>
  <c r="H25"/>
  <c r="H24"/>
  <c r="G24"/>
  <c r="H26"/>
  <c r="G26"/>
  <c r="H15"/>
  <c r="H16"/>
  <c r="G17"/>
  <c r="G16"/>
  <c r="G15"/>
  <c r="H7"/>
  <c r="G7"/>
  <c r="H6"/>
  <c r="G6"/>
  <c r="H5"/>
  <c r="G5"/>
  <c r="F68"/>
  <c r="G68"/>
  <c r="H68"/>
  <c r="H69"/>
  <c r="H72"/>
  <c r="G72"/>
  <c r="H66"/>
  <c r="H58"/>
  <c r="H61"/>
  <c r="H53" s="1"/>
  <c r="H56"/>
  <c r="F53"/>
  <c r="G53"/>
  <c r="G20" s="1"/>
  <c r="G97" s="1"/>
  <c r="G67"/>
  <c r="H67"/>
  <c r="G47"/>
  <c r="G46"/>
  <c r="H45"/>
  <c r="G45"/>
  <c r="H44"/>
  <c r="G44"/>
  <c r="H43"/>
  <c r="H42" s="1"/>
  <c r="G43"/>
  <c r="G42" s="1"/>
  <c r="H32"/>
  <c r="H31"/>
  <c r="G28"/>
  <c r="H28"/>
  <c r="D85"/>
  <c r="E74"/>
  <c r="D74"/>
  <c r="D73"/>
  <c r="E72"/>
  <c r="D72"/>
  <c r="E68"/>
  <c r="D68"/>
  <c r="E67"/>
  <c r="D67"/>
  <c r="E53"/>
  <c r="D53"/>
  <c r="E31"/>
  <c r="D31"/>
  <c r="E29"/>
  <c r="D29"/>
  <c r="E28"/>
  <c r="D28"/>
  <c r="E26"/>
  <c r="F25"/>
  <c r="E25"/>
  <c r="E24"/>
  <c r="D24"/>
  <c r="F17"/>
  <c r="E17"/>
  <c r="H14"/>
  <c r="F16"/>
  <c r="D16"/>
  <c r="F15"/>
  <c r="E15"/>
  <c r="D15"/>
  <c r="G14"/>
  <c r="F14"/>
  <c r="E14"/>
  <c r="F13"/>
  <c r="F12"/>
  <c r="E12"/>
  <c r="D12"/>
  <c r="F11"/>
  <c r="E11"/>
  <c r="D11"/>
  <c r="F10"/>
  <c r="E10"/>
  <c r="D10"/>
  <c r="F9"/>
  <c r="E9"/>
  <c r="D9"/>
  <c r="E6"/>
  <c r="E7" s="1"/>
  <c r="D6"/>
  <c r="G4"/>
  <c r="E5"/>
  <c r="D5"/>
  <c r="D7" s="1"/>
  <c r="D4" s="1"/>
  <c r="F4"/>
  <c r="H40" i="5"/>
  <c r="H41"/>
  <c r="H36"/>
  <c r="H39"/>
  <c r="H35"/>
  <c r="H32"/>
  <c r="H31"/>
  <c r="H28"/>
  <c r="H27"/>
  <c r="H25"/>
  <c r="H24"/>
  <c r="H17"/>
  <c r="H16"/>
  <c r="H15"/>
  <c r="H13"/>
  <c r="H12"/>
  <c r="H11"/>
  <c r="H10"/>
  <c r="H9"/>
  <c r="H7"/>
  <c r="H6"/>
  <c r="G5"/>
  <c r="H5"/>
  <c r="H55"/>
  <c r="G55"/>
  <c r="F55"/>
  <c r="E55"/>
  <c r="D55"/>
  <c r="D50"/>
  <c r="E46"/>
  <c r="D46"/>
  <c r="D45"/>
  <c r="E44"/>
  <c r="D44"/>
  <c r="G40"/>
  <c r="F40"/>
  <c r="E40"/>
  <c r="D40"/>
  <c r="E39"/>
  <c r="E36" s="1"/>
  <c r="E20" s="1"/>
  <c r="D39"/>
  <c r="G36"/>
  <c r="F36"/>
  <c r="D36"/>
  <c r="E31"/>
  <c r="D31"/>
  <c r="E29"/>
  <c r="D29"/>
  <c r="E28"/>
  <c r="D28"/>
  <c r="G27"/>
  <c r="F27"/>
  <c r="E26"/>
  <c r="G25"/>
  <c r="F25"/>
  <c r="E25"/>
  <c r="E24"/>
  <c r="D24"/>
  <c r="H20"/>
  <c r="G20"/>
  <c r="F20"/>
  <c r="F17"/>
  <c r="E17"/>
  <c r="G16"/>
  <c r="F16"/>
  <c r="D16"/>
  <c r="H14"/>
  <c r="G15"/>
  <c r="F15"/>
  <c r="F14" s="1"/>
  <c r="E15"/>
  <c r="D15"/>
  <c r="D17" s="1"/>
  <c r="G14"/>
  <c r="E14"/>
  <c r="G13"/>
  <c r="F13"/>
  <c r="G12"/>
  <c r="F12"/>
  <c r="E12"/>
  <c r="D12"/>
  <c r="G11"/>
  <c r="F11"/>
  <c r="E11"/>
  <c r="D11"/>
  <c r="G10"/>
  <c r="F10"/>
  <c r="E10"/>
  <c r="D10"/>
  <c r="G9"/>
  <c r="G8" s="1"/>
  <c r="F9"/>
  <c r="E9"/>
  <c r="D9"/>
  <c r="D13" s="1"/>
  <c r="D8" s="1"/>
  <c r="H8"/>
  <c r="F8"/>
  <c r="E6"/>
  <c r="E7" s="1"/>
  <c r="E4" s="1"/>
  <c r="D6"/>
  <c r="E5"/>
  <c r="D5"/>
  <c r="H4"/>
  <c r="G4"/>
  <c r="G63" s="1"/>
  <c r="F4"/>
  <c r="F63" s="1"/>
  <c r="H55" i="4"/>
  <c r="G55"/>
  <c r="F55"/>
  <c r="E55"/>
  <c r="D55"/>
  <c r="H27"/>
  <c r="F27"/>
  <c r="G27"/>
  <c r="G40"/>
  <c r="F40"/>
  <c r="H36"/>
  <c r="H39"/>
  <c r="H20" s="1"/>
  <c r="G36"/>
  <c r="F36"/>
  <c r="H35"/>
  <c r="G25"/>
  <c r="H25"/>
  <c r="F25"/>
  <c r="F17"/>
  <c r="H14"/>
  <c r="H16"/>
  <c r="G16"/>
  <c r="F16"/>
  <c r="F15"/>
  <c r="G15"/>
  <c r="H15"/>
  <c r="E20"/>
  <c r="F20"/>
  <c r="G20"/>
  <c r="E14"/>
  <c r="F14"/>
  <c r="G14"/>
  <c r="E8"/>
  <c r="F8"/>
  <c r="G8"/>
  <c r="H8"/>
  <c r="E4"/>
  <c r="F4"/>
  <c r="G4"/>
  <c r="H4"/>
  <c r="G13"/>
  <c r="F13"/>
  <c r="G12"/>
  <c r="F12"/>
  <c r="G11"/>
  <c r="F11"/>
  <c r="H10"/>
  <c r="G10"/>
  <c r="F10"/>
  <c r="H9"/>
  <c r="G9"/>
  <c r="F9"/>
  <c r="D50"/>
  <c r="E46"/>
  <c r="D46"/>
  <c r="D45"/>
  <c r="E44"/>
  <c r="D44"/>
  <c r="E40"/>
  <c r="D40"/>
  <c r="E39"/>
  <c r="D39"/>
  <c r="E36"/>
  <c r="D36"/>
  <c r="E31"/>
  <c r="D31"/>
  <c r="E29"/>
  <c r="D29"/>
  <c r="E28"/>
  <c r="D28"/>
  <c r="E26"/>
  <c r="E25"/>
  <c r="E24"/>
  <c r="D24"/>
  <c r="E17"/>
  <c r="D16"/>
  <c r="E15"/>
  <c r="D15"/>
  <c r="D17" s="1"/>
  <c r="D14" s="1"/>
  <c r="D25" s="1"/>
  <c r="D20" s="1"/>
  <c r="E12"/>
  <c r="D12"/>
  <c r="E11"/>
  <c r="D11"/>
  <c r="E10"/>
  <c r="D10"/>
  <c r="E9"/>
  <c r="E13" s="1"/>
  <c r="D9"/>
  <c r="D13" s="1"/>
  <c r="D8" s="1"/>
  <c r="E6"/>
  <c r="E7" s="1"/>
  <c r="E63" s="1"/>
  <c r="D6"/>
  <c r="E5"/>
  <c r="D5"/>
  <c r="D7" s="1"/>
  <c r="D4" s="1"/>
  <c r="D63" s="1"/>
  <c r="D29" i="3"/>
  <c r="E62"/>
  <c r="E55"/>
  <c r="E20"/>
  <c r="D20"/>
  <c r="D62" s="1"/>
  <c r="D4"/>
  <c r="E10"/>
  <c r="E9"/>
  <c r="E13" s="1"/>
  <c r="E8" s="1"/>
  <c r="E31"/>
  <c r="D31"/>
  <c r="E29"/>
  <c r="E28"/>
  <c r="D28"/>
  <c r="D55"/>
  <c r="E24"/>
  <c r="D24"/>
  <c r="D39"/>
  <c r="D36" s="1"/>
  <c r="E39"/>
  <c r="E36" s="1"/>
  <c r="E46"/>
  <c r="D46"/>
  <c r="D45"/>
  <c r="E44"/>
  <c r="D44"/>
  <c r="E40"/>
  <c r="D40"/>
  <c r="E25"/>
  <c r="E26"/>
  <c r="D16"/>
  <c r="E17"/>
  <c r="E15"/>
  <c r="D15"/>
  <c r="E11"/>
  <c r="E12"/>
  <c r="D12"/>
  <c r="D11"/>
  <c r="D10"/>
  <c r="D9"/>
  <c r="D5"/>
  <c r="D6"/>
  <c r="E6"/>
  <c r="E7" s="1"/>
  <c r="E5"/>
  <c r="E4" s="1"/>
  <c r="D50"/>
  <c r="D13" i="7" l="1"/>
  <c r="D8" s="1"/>
  <c r="H20"/>
  <c r="G20"/>
  <c r="G93" s="1"/>
  <c r="F20"/>
  <c r="F93" s="1"/>
  <c r="D93"/>
  <c r="H8"/>
  <c r="D13" i="6"/>
  <c r="D8" s="1"/>
  <c r="F8"/>
  <c r="E20"/>
  <c r="H4"/>
  <c r="G8"/>
  <c r="E13"/>
  <c r="E8" s="1"/>
  <c r="E4"/>
  <c r="H8"/>
  <c r="D17"/>
  <c r="D14" s="1"/>
  <c r="D25" s="1"/>
  <c r="D20" s="1"/>
  <c r="H63" i="5"/>
  <c r="D7"/>
  <c r="D4" s="1"/>
  <c r="D63" s="1"/>
  <c r="E13"/>
  <c r="E8" s="1"/>
  <c r="E63" s="1"/>
  <c r="D14"/>
  <c r="D25" s="1"/>
  <c r="D20" s="1"/>
  <c r="G63" i="4"/>
  <c r="F63"/>
  <c r="H63"/>
  <c r="D17" i="3"/>
  <c r="D14" s="1"/>
  <c r="D25" s="1"/>
  <c r="E14"/>
  <c r="D13"/>
  <c r="D8" s="1"/>
  <c r="D7"/>
  <c r="H93" i="7" l="1"/>
  <c r="E97" i="6"/>
  <c r="D97"/>
</calcChain>
</file>

<file path=xl/sharedStrings.xml><?xml version="1.0" encoding="utf-8"?>
<sst xmlns="http://schemas.openxmlformats.org/spreadsheetml/2006/main" count="676" uniqueCount="247">
  <si>
    <t>Наименование</t>
  </si>
  <si>
    <t xml:space="preserve">Капитальные вложения, в т.ч  </t>
  </si>
  <si>
    <t>строительство ПНИ "Оксочи" д.Подгорное Маловишерского р-на</t>
  </si>
  <si>
    <t>строительство РОЦ "Юрьево"</t>
  </si>
  <si>
    <t>департамент труда и социальной защиты населения Новгородской области</t>
  </si>
  <si>
    <t>Содержание центров занятости, всего</t>
  </si>
  <si>
    <t>Содержание учреждений социального обслуживания, всего</t>
  </si>
  <si>
    <t>Содержание аппарата управления ,  всего</t>
  </si>
  <si>
    <t>Единовременная выплата при награждении орденом и медалью ордена "Родительская слава"</t>
  </si>
  <si>
    <t>Единовременная выплата при награждении почетным знаком "За верность родительскому долгу"</t>
  </si>
  <si>
    <t>Перевозка несовершеннолетних, ушедших из детских домов</t>
  </si>
  <si>
    <t>Путевки на санаторно-курортное лечение реабилитированных лиц</t>
  </si>
  <si>
    <t>в том числе:</t>
  </si>
  <si>
    <t xml:space="preserve">                      коммунальные услуги</t>
  </si>
  <si>
    <t>Утвержденные ассигнования на 2016 год департаменту труда и социальной защиты населения Новгородской области</t>
  </si>
  <si>
    <t>Адаптация для инвалидов и других маломобильных групп населения приоритетных объектов социальной инфраструктуры - учреждений занятости населения области</t>
  </si>
  <si>
    <t>Организация и проведение торжественного мероприятия, посвященного 25-летию службы занятости населения</t>
  </si>
  <si>
    <t xml:space="preserve">         коммунальные услуги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</si>
  <si>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нужды) 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</si>
  <si>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</si>
  <si>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 xml:space="preserve">Ежемесячная денежная выплата, назначаемая в случае рождения третьего ребенка или последующих детей до достижения ребенком возраста трех лет </t>
  </si>
  <si>
    <t>Предоставление мер социальной поддержки по назначению и выплате ежемесячной компенсации расходов на уплату взноса на капитальный ремонт общего имущества в многоквартирном доме отдельным собственникам жилых помещений, проживающим на территории Новгородской области</t>
  </si>
  <si>
    <t xml:space="preserve">Предоставление ежемесячной доплаты к государственной пенсии лицам, замещавшим государственные должности государственной службы Новгородской области </t>
  </si>
  <si>
    <t>Строительство психоневрологического интерната на 200 мест в д. Подгорное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</si>
  <si>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2014-2016 годы"</t>
  </si>
  <si>
    <t xml:space="preserve">Обеспечение предоставления мер социальной поддержки гражданам, подвергшимся воздействию радиации, на оплату жилого помещения и коммунальных услуг </t>
  </si>
  <si>
    <t xml:space="preserve">Предоставление дополнительных мер социальной поддержки многодетным семьям (региональный капитал "Семья") </t>
  </si>
  <si>
    <t>Резервные фонды исполнительных органов государственной власти Новгородской области ( распоряжение Правительства Новгородской области об оказании мат.помощи семье Ивановых в связи с гибелью дочери)</t>
  </si>
  <si>
    <t xml:space="preserve">Обеспечение предоставления отдельных мер социальной поддержки гражданам, подвергшимся воздействию радиации </t>
  </si>
  <si>
    <t xml:space="preserve">Обеспечение предоставления мер социальной поддержки лиц, награжденных знаком "Почетный донор СССР", "Почетный донор России" </t>
  </si>
  <si>
    <t xml:space="preserve">Обеспечение предоставления мер социальной поддержки по оплате жилищно-коммунальных услуг отдельным категориям граждан 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</si>
  <si>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</t>
  </si>
  <si>
    <t>Осуществление отдельных государственных полномочий по назначению и выплате единовременного пособия одинокой матери</t>
  </si>
  <si>
    <t xml:space="preserve">Предоставление субсидий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 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</si>
  <si>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</si>
  <si>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Единовременное пособие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19.05.1995года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</si>
  <si>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ликвидацией организаций (прекращением деятельности, полномочий физическими лицами), в соответствии с Федеральным законом от 19.05.1995г № 81-ФЗ "О государственных пособиях гражданам, имеющим детей"</t>
  </si>
  <si>
    <t xml:space="preserve">                        коммунальные услуги</t>
  </si>
  <si>
    <t>Реализация мероприятий подпрограммы "Социальная поддержка отдельных категорий граждан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</si>
  <si>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2014-2018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</si>
  <si>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2014-2018 годы" </t>
  </si>
  <si>
    <t>Реализация мероприятий подпрограммы "Совершенствование социальной поддержки семьи и детей в Новгородской области" государственной программы Новгородской области "Социальная поддержка граждан в Новгородской области на 2014-2018 годы"</t>
  </si>
  <si>
    <t>Реализация мероприятий государственной программы Новгородской области "Содействие занятости населения в Новгородской области на 2014-2020 годы"</t>
  </si>
  <si>
    <t>Финансовое обеспечение публичных обязательств перед физическими лицами, подлежащих исполнению в денежной форме, подведомственными областными учреждениями социального обслуживания населения, по предоставлению ежемесячной денежной компенсации расходов по оплате жилья и коммунальных услуг отдельным категориям граждан, работающим и проживающим в сельских населенных пунктах и поселках городского типа (льготы-село)</t>
  </si>
  <si>
    <t>а также:</t>
  </si>
  <si>
    <t>Мероприятия государственных программ, всего</t>
  </si>
  <si>
    <t>питание</t>
  </si>
  <si>
    <t xml:space="preserve">        медикаменты</t>
  </si>
  <si>
    <t xml:space="preserve">    матзатраты</t>
  </si>
  <si>
    <t xml:space="preserve">      матзатраты</t>
  </si>
  <si>
    <t xml:space="preserve">в том числе: </t>
  </si>
  <si>
    <t xml:space="preserve">        зарплата и начисления</t>
  </si>
  <si>
    <t>прочие расходы</t>
  </si>
  <si>
    <t xml:space="preserve">                   зарплата и начисления</t>
  </si>
  <si>
    <t xml:space="preserve">                    зарплата и начисления</t>
  </si>
  <si>
    <t xml:space="preserve"> Организация работ по реконструкции здания "Реабилитационный центр для детей и подростков с ограниченными возможностями "Юрьево"</t>
  </si>
  <si>
    <t>Обеспечение мероприятий, связанных с отдыхом и оздоровлением детей, находящихся в трудной жизненной ситуации</t>
  </si>
  <si>
    <t xml:space="preserve">Субсидии и субвенции муниципальным образованиям, </t>
  </si>
  <si>
    <t>ИТОГО:</t>
  </si>
  <si>
    <t>Примечание</t>
  </si>
  <si>
    <t>департамент труда и социальной защиты населения Новгородской обасти</t>
  </si>
  <si>
    <t>ГОКУ "Центр по организации социального обслуживания и предоставления социальных выплат", 6 бюджетных учреждений,  32 автономных учреждений</t>
  </si>
  <si>
    <t>ГОКУ "Центр занятости населения Новгородской области"</t>
  </si>
  <si>
    <t>Реализация мероприятий подпрограммы "Повышение эффективности бюджетных расходов Новгородской области" государственной программы Новгородской области "Управление государственными финансами Новгородской области на 2014-2020 годы"</t>
  </si>
  <si>
    <t xml:space="preserve"> обучение гос.служащих</t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</si>
  <si>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и государственная поддержка развития местного самоуправления в Новгородской области на 2015-2020 годы" </t>
  </si>
  <si>
    <t>образовательные курсы</t>
  </si>
  <si>
    <t>в том числе  из ФБ - 194687836,64 рублей</t>
  </si>
  <si>
    <t>в том числе  из ФБ 4029000,00 рублей</t>
  </si>
  <si>
    <t>в том числе  из ФБ - 30998,81 рублей</t>
  </si>
  <si>
    <t>в том числе  из ФБ - 2416482,69 рублей</t>
  </si>
  <si>
    <t>в том числе  из ФБ - 12738000 рублей</t>
  </si>
  <si>
    <t>в том числе  из ФБ - 8702567,50 рублей</t>
  </si>
  <si>
    <t>в том числе  из ФБ - 38602489,63 рублей</t>
  </si>
  <si>
    <t>Организация проката технических средств реабилитации-300000,00; "социальное такси"-1499973,39</t>
  </si>
  <si>
    <t>в т.ч. Софинансирование ПФР 2819310 рублей</t>
  </si>
  <si>
    <t>в том числе  из ФБ - 162000000 рублей</t>
  </si>
  <si>
    <t>в том числе  из ФБ - 183735800 рублей</t>
  </si>
  <si>
    <t>в том числе  из ФБ - 44300 рублей</t>
  </si>
  <si>
    <t>в том числе  из ФБ - 13169600 рублей</t>
  </si>
  <si>
    <t>в том числе  из ФБ - 12855,37 рублей</t>
  </si>
  <si>
    <t>в том числе  из ФБ - 3469266,14 рублей</t>
  </si>
  <si>
    <t>в том числе  из ФБ - 188484500 рублей</t>
  </si>
  <si>
    <t>средства  из ФБ - 1740839,97 рублей</t>
  </si>
  <si>
    <t>Исполнение бюджета за 2016 год</t>
  </si>
  <si>
    <t>Утвержденные ассигнования на 2017 год департаменту труда и социальной защиты населения Новгородской области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</si>
  <si>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31.05.2017 года</t>
    </r>
  </si>
  <si>
    <t xml:space="preserve">Реализация мероприятий подпрограммы "Развитие системы государственной гражданской службы в Новгородской области" государственной программы Новгородской области "Совершенствование системы государственного управления  Новгородской области на 2016-2025 годы" </t>
  </si>
  <si>
    <t>Реализация мероприятий государственной программы Новгородской области "Обеспечение общественного порядка и противодействие преступности в Новгородской области на 2017-2021 годы" (2014-2016 годы)</t>
  </si>
  <si>
    <t xml:space="preserve">Реализация мероприятий государственной программы Новгородской области по оказанию содействия добровольному переселению в Российскую Федерацию соотечественников, проживающих за рубежом (однократная денежная выплата на потребительские нужды, организация материально-технического обеспечения мероприятий,изготовление памяток) </t>
  </si>
  <si>
    <t>в том числе  из ФБ план на 31.05.2017год 2448100,00 рублей</t>
  </si>
  <si>
    <t>в том числе  из ФБ - план на 31.05.2017-181315300 рублей</t>
  </si>
  <si>
    <t>в том числе  из ФБ план на 31.05.2017год 91400,00 рублей</t>
  </si>
  <si>
    <t>в том числе  из ФБ план на 31.05.2017год 4089940,00 рублей</t>
  </si>
  <si>
    <t>в том числе  из ФБ план на 31.05.2017год 12895700,00 рублей</t>
  </si>
  <si>
    <t>в том числе  из ФБ план на 31.05.2017год 41323100,00 рублей</t>
  </si>
  <si>
    <t>Организация проката технических средств реабилитации-300000,00; "социальное такси"-1500000/ а также в том числе  из ФБ план на 31.05.2017год 1855000,00 рублей</t>
  </si>
  <si>
    <t xml:space="preserve">Реализация мероприятий подпрограммы "Доступная среда" государственной программы Новгородской области "Социальная поддержка граждан в Новгородской области на 2014-2020 годы" </t>
  </si>
  <si>
    <t xml:space="preserve">Реализация мероприятий подпрограммы "Модернизация и развитие социального обслуживания граждан пожилого возраста и инвалидов в Новгородской области" государственной программы Новгородской области "Социальная поддержка граждан в Новгородской области на 2014-2020 годы" 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</si>
  <si>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31.05.2017)</t>
  </si>
  <si>
    <t>в т.ч. Софинансирование ПФР _____рублей, из ФБ</t>
  </si>
  <si>
    <t>в том числе  из ФБ - ____ рублей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</si>
  <si>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размещения(ФБ)</t>
  </si>
  <si>
    <t>(пожар в Панковке, Авария в метро С.П.)</t>
  </si>
  <si>
    <t>в том числе  из ФБ план на 31.05.2017год 39700,00 рублей</t>
  </si>
  <si>
    <t>в том числе  из ФБ план на 31.05.2017год 154965000,00 рублей</t>
  </si>
  <si>
    <t>в том числе  из ФБ план на 31.05.2017год 32600,00 рублей</t>
  </si>
  <si>
    <t>в том числе  из ФБ план на 31.05.2017год 4277800,00 рублей</t>
  </si>
  <si>
    <t>в том числе  из ФБ план на 31.05.2017год 190679700,00 рублей</t>
  </si>
  <si>
    <t>Перечисления в бюджеты муниц.образований субвенции на оплату жилищно-коммунальных услуг отдельным категориям граждан (с 2017 года)</t>
  </si>
  <si>
    <t>в том числе  из ФБ план на 31.05.2017год 674038500,00 рублей</t>
  </si>
  <si>
    <t>в том числе  из ФБ план на 31.05.2017год 15419600,00 рублей</t>
  </si>
  <si>
    <r>
      <t xml:space="preserve">Исполнение бюджета 2017 года </t>
    </r>
    <r>
      <rPr>
        <b/>
        <u/>
        <sz val="12"/>
        <rFont val="Arial Cyr"/>
        <charset val="204"/>
      </rPr>
      <t>на 30.06.2017 года</t>
    </r>
  </si>
  <si>
    <t>в том числе  из ФБ - план на 30.06.2017-181315300 рублей</t>
  </si>
  <si>
    <t>в том числе  из ФБ план на 30.06.2017год 2448100,00 рублей</t>
  </si>
  <si>
    <t>в том числе  из ФБ план на 30.06.2017год 91400,00 рублей</t>
  </si>
  <si>
    <t>в том числе  из ФБ план на 30.06.2017год 12895700,00 рублей</t>
  </si>
  <si>
    <t>в том числе  из ФБ план на 30.06.2017год 15419600,00 рублей</t>
  </si>
  <si>
    <t>в том числе  из ФБ план на 30.06.2017год 41323100,00 рублей</t>
  </si>
  <si>
    <t>Организация проката технических средств реабилитации-300000,00; "социальное такси"-1500000/ а также в том числе  из ФБ план на 30.06.2017год 1855000,00 рублей</t>
  </si>
  <si>
    <t>в том числе  из ФБ план на 30.06.2017год 154965000,00 рублей</t>
  </si>
  <si>
    <t>в том числе  из ФБ план на 30.06.2017год 32600,00 рублей</t>
  </si>
  <si>
    <t>в том числе  из ФБ план на 30.06.2017год 4277800,00 рублей</t>
  </si>
  <si>
    <t>в том числе  из ФБ план на 30.06.2017год 190679700,00 рублей</t>
  </si>
  <si>
    <t>в том числе  из ФБ план на 30.06.2017год 39700,00 рублей</t>
  </si>
  <si>
    <t>в том числе  из ФБ план на 30.06.2017год 674038500,00 рублей</t>
  </si>
  <si>
    <t>(пожар в Панковке, Авария в метро С.П., затопление в Любытинском районе)</t>
  </si>
  <si>
    <t xml:space="preserve">Резервные фонды исполнительных органов государственной власти Новгородской области </t>
  </si>
  <si>
    <t xml:space="preserve">Обеспечение предоставления мер социальной поддержки гражданам,  на оплату жилого помещения и коммунальных услуг </t>
  </si>
  <si>
    <t>Предоставление субвенций органам местного самоуправления на предоставление мер социальной поддержки по оплате жилищно-коммунальных услуг отдельным категориям граждан</t>
  </si>
  <si>
    <t>Обеспечение протезно-ортопедическими изделиями граждан Российской Федерации, местом жительства которых является территория Новгородской области, чей среднедушевой доход не превышает величину прожиточного минимума в расчете на душу населения, установленного в области, более чем на 50,0 %</t>
  </si>
  <si>
    <t>Выплата компенсаций на бесплатное захоронение умершего (погибшего) Героя Социалистического Труда, Героя Труда Российской Федерации и полного кавалера ордена Трудовой Славы</t>
  </si>
  <si>
    <t>Утвержденные ассигнования на 2017 год департаменту труда и социальной защиты населения Новгородской области(уточненная роспись расходов на 31.12.2017)</t>
  </si>
  <si>
    <t xml:space="preserve">Исполнение бюджета                  2017 года </t>
  </si>
  <si>
    <t>Предоставление субвенций органам местного самоуправления на предоставление дополнительных мер социальной поддержки отдельным категориям граждан из числа инвалидов и участников Великой Отечественной войны к 70-летию Победы в Великой Отечественной войне</t>
  </si>
  <si>
    <t>в т.ч.</t>
  </si>
  <si>
    <t>в том числе  из ФБ план на 31.12.2017год 91400,00 рублей</t>
  </si>
  <si>
    <t>в том числе  из ФБ план на 31.12.2017год 4089940,00 рублей</t>
  </si>
  <si>
    <t>в том числе  из ФБ план на 31.12.2017год 13295700,00 рублей</t>
  </si>
  <si>
    <t>средства ПФРФ</t>
  </si>
  <si>
    <t>в том числе  из ФБ план на 31.12.2017год 41323100,00 рублей</t>
  </si>
  <si>
    <t>в том числе  из ФБ план на 31.12.2017год 15419600,00 рублей</t>
  </si>
  <si>
    <t>в том числе  из ФБ план на 31.12.2017год 584208500,00 рублей</t>
  </si>
  <si>
    <t>Оказание адресной поддержки инвалидам вследствие военной травмы, полученной при прохождении службы по призыву в Афганистане или на территории Северо-Кавказского региона, в виде ежемесячной денежной компенсации в возмещение вреда здоровью</t>
  </si>
  <si>
    <t xml:space="preserve">Организация проката технических средств реабилитации </t>
  </si>
  <si>
    <t>Организация транспортного обслуживания инвалидов ("социальное такси")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</si>
  <si>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организациях социального обслуживания
</t>
  </si>
  <si>
    <t xml:space="preserve"> в том числе  из ФБ план на 31.12.2017год  772315,18 рублей</t>
  </si>
  <si>
    <t xml:space="preserve"> Адаптация для инвалидов и других МГН приоритетных объектов социальной инфраструктуры (оборудование пандусных съездов, стоянок автотранспорта, расширение дверных проемов, оборудование санитарно-гигиенических помещений и путей движения внутри здания, зон оказания услуг, включая изготовление, установку и выполнение работ по оснащению зданий специальными устройствами, в том числе лестничными подъемными устройствами для передвижения инвалидов-колясочников, съемными и выдвижными пандусами, ориентировочными и опорными поручнями, перилами, мягкими порогами, информирующими обозначениями и знаками доступности с рельефным профилем, кнопками вызова, автоматическими светозвуковыми информаторами и информационными табло) в учреждениях службы занятости
</t>
  </si>
  <si>
    <t xml:space="preserve"> в том числе  из ФБ план на 31.12.2017год  669888,99 рублей</t>
  </si>
  <si>
    <t xml:space="preserve">Организация обеспечения инвалидов в соответствии с областным перечнем специальными средствами ухода, быта и доступа (бумага для письма рельефно-точечным шрифтом Брайля, грифели для письма шрифтом Брайля, очки, диктофон цифровой, сиденье-надставка для унитаза, прибор для измерения уровня сахара в крови с речевым выходом, тест-полоски к прибору для измерения уровня сахара в крови, телескопический пандус)
</t>
  </si>
  <si>
    <t xml:space="preserve">Организация круглосуточных диспетчерских центров связи для глухих с целью оказания экстренной и иной социальной помощи
</t>
  </si>
  <si>
    <t xml:space="preserve"> в том числе  из ФБ план на 31.12.2017год  197011,58 рублей</t>
  </si>
  <si>
    <t xml:space="preserve">Обучение (профессиональная переподготовка, повышение квалификации) русскому жестовому языку переводчиков в сфере профессиональной коммуникации неслышащих (переводчик жестового языка) и переводчиков в сфере профессиональной коммуникации лиц с нарушениями слуха и зрения (слепоглухих), в том числе тифлокомментаторов
</t>
  </si>
  <si>
    <t xml:space="preserve"> в том числе  из ФБ план на 31.12.2017год  49277,71 рублей</t>
  </si>
  <si>
    <t xml:space="preserve">Организация обучения специалистов органов службы занятости особенностям организации работы с инвалидами, в том числе по сопровождению при решении вопросов занятости (слепые и слабовидящие, глухие и слабослышащие, с нарушением функций опорно-двигательного аппарата, с когнитивными нарушениями, с психическими нарушениями и иные) в рамках реализации мероприятий государственной программы Российской Федерации "Доступная среда" на 2011 - 2020 годы
</t>
  </si>
  <si>
    <t xml:space="preserve"> в том числе  из ФБ план на 31.12.2017год  168668,51 рублей</t>
  </si>
  <si>
    <t xml:space="preserve">Организация субтитрирования телевизионных передач на областном телевидении
</t>
  </si>
  <si>
    <t xml:space="preserve"> в том числе  из ФБ план на 31.12.2017год  98500 рублей</t>
  </si>
  <si>
    <t xml:space="preserve">Организация размещения и транслирования социальной рекламы, направленной на формирование доступной среды (размещение рекламных баннеров и информационных роликов на областном телевидении)
</t>
  </si>
  <si>
    <t xml:space="preserve"> в том числе  из ФБ план на 31.12.2017год  56181,38 рублей</t>
  </si>
  <si>
    <t xml:space="preserve">Осуществление сбора, обобщения и анализа информации о качестве оказания услуг организациями социального обслуживания путем проведения мониторинга деятельности организаций социального обслуживания, анкетирования и социологических опросов граждан пожилого возраста и инвалидов, проживающих на территории области
</t>
  </si>
  <si>
    <t xml:space="preserve">Обеспечение деятельности консультационно-информационной службы "Единый социальный телефон"
</t>
  </si>
  <si>
    <t xml:space="preserve">Организация обеспечения маломобильных граждан пожилого возраста и инвалидов системами экстренного вызова оперативных служб
</t>
  </si>
  <si>
    <t xml:space="preserve">Организация выполнения работ по ремонту зданий организаций социального обслуживания
</t>
  </si>
  <si>
    <t xml:space="preserve">Организация выполнения работ по ремонту зданий организаций социального обслуживания
(субсидии Пенсионного фонда Российской Федерации)
</t>
  </si>
  <si>
    <t xml:space="preserve">Организация выполнения противопожарных, антитеррористических и иных мероприятий, направленных на обеспечение комплексной безопасности, организациями социального обслуживания
</t>
  </si>
  <si>
    <t xml:space="preserve">Организация дооснащения зданий организаций, осуществляющих стационарное социальное обслуживание, приборами автоматической пожарной сигнализации для обеспечения автоматического вывода сигнала срабатывания на пульт пожарной охраны, а также их последующего обслуживания
</t>
  </si>
  <si>
    <t xml:space="preserve">Организация обучения компьютерной грамотности неработающих пенсионеров
</t>
  </si>
  <si>
    <t>в т.ч. Софинансирование ПФР 235100,00 рублей, из ФБ</t>
  </si>
  <si>
    <t xml:space="preserve">Организация и проведение областного конкурса на звание "Лучший социальный работник"
</t>
  </si>
  <si>
    <t xml:space="preserve">Организация и проведение областного профессионального праздника "День социального работника"
</t>
  </si>
  <si>
    <t xml:space="preserve">Обновление и сопровождение официального сайта департамента
</t>
  </si>
  <si>
    <t xml:space="preserve">Приобретение вычислительной техники, расходных материалов и монтаж локально-вычислительных сетей
</t>
  </si>
  <si>
    <t>в том числе  из ФБ - 42400000,00 рублей</t>
  </si>
  <si>
    <t>в том числе  из ФБ - 80578000,00 рублей</t>
  </si>
  <si>
    <t>в том числе  из ФБ план на 31.12.2017год 39700,00 рублей</t>
  </si>
  <si>
    <t>в том числе  из ФБ план на 31.12.2017год 4403815,12 рублей</t>
  </si>
  <si>
    <t xml:space="preserve">Предоставление субсидий автономным учреждениям на приобретение новогодних подарков для детей, находящихся в трудной жизненной ситуации
</t>
  </si>
  <si>
    <t xml:space="preserve">Предоставление субсидий автономным учреждениям на проведение Губернаторской елки
</t>
  </si>
  <si>
    <t xml:space="preserve">Назначение и выплата единовременного пособия одинокой матери при рождении ребенка
</t>
  </si>
  <si>
    <t>в том числе  из ФБ план на 31.12.2017год 172870400,00 рублей</t>
  </si>
  <si>
    <t>в том числе  из ФБ план на 31.12.2017год 196562900,00 рублей</t>
  </si>
  <si>
    <t>Предоставление единовременной денежной выплаты многодетным матерям, награжденным почетным Дипломом Новгородской области многодетной матери</t>
  </si>
  <si>
    <t xml:space="preserve">Предоставление субсидий автономным учреждениям на организацию разработки и размещения социальной рекламы, направленной на укрепление авторитета семьи, профилактику семейного неблагополучия, жестокого обращения с детьми
</t>
  </si>
  <si>
    <t xml:space="preserve">Предоставление субсидии автономным учреждениям на организацию работы по изготовлению бланков удостоверений многодетных семей, проживающих на территории Новгородской области
</t>
  </si>
  <si>
    <t xml:space="preserve">Предоставление единовременной денежной выплаты семьям - победителям регионального этапа Всероссийского конкурса "Семья года"
</t>
  </si>
  <si>
    <t>в том числе  из ФБ план на 31.12.2017год 32600,00 рублей</t>
  </si>
  <si>
    <t xml:space="preserve">Предоставление субсидий автономным учреждениям на подготовку и организацию издания методических и иных материалов, направленных на профилактику безнадзорности несовершеннолетних, укрепление института семьи, пропаганду здорового образа жизни
</t>
  </si>
  <si>
    <t xml:space="preserve">Предоставление субсидий автономным учреждениям на проведение "круглых столов", семинаров, конференций, совещаний, заседаний по вопросам социальной поддержки семей с детьми, профилактики безнадзорности несовершеннолетних
</t>
  </si>
  <si>
    <t>(пожар в Панковке, Авария в метро С.П., затопление в Любытинском районе. Поддорский район и пр.)</t>
  </si>
  <si>
    <t>в том числе  из ФБ план на 31.12.2017год 2178500,00 рублей</t>
  </si>
  <si>
    <t>в том числе  из ФБ - план на 31.12.2017-151891900 рублей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</si>
  <si>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6 бюджетных учреждений,  31 автономных учреждений</t>
  </si>
  <si>
    <t xml:space="preserve"> Капитальный ремонт зданий за счет средств иных межбюджетных трансфертов из Резервного фонда Президента Российской Федерации</t>
  </si>
  <si>
    <t xml:space="preserve">Организация оказания адресной социальной помощи неработающим пенсионерам, являющимся получателями трудовых пенсий по старости и по инвалидности, в порядке, устанавливаемом областным нормативным правовым актом
</t>
  </si>
  <si>
    <t xml:space="preserve">Организация работы по изготовлению бланков строгой отчетности: листов талонов на бесплатный проезд в автомобильном транспорте межмуниципального сообщения на территории Новгородской области; бланков удостоверений "Ветеран труда Новгородской области"
</t>
  </si>
  <si>
    <t>Утвержденные ассигнования на 2017 год департаменту труда и социальной защиты населения Новгородской области (на 01.01.2017)</t>
  </si>
  <si>
    <t>Утвержденные ассигнования на 2018 год министерству труда и социальной защиты населения Новгородской области (на 01.01.2018)</t>
  </si>
  <si>
    <t>министерство труда и социальной защиты населения Новгородской области</t>
  </si>
  <si>
    <t>в том числе  из ФБ план на 31.03.2018год 2529200,00 рублей</t>
  </si>
  <si>
    <t>в том числе  из ФБ - план на 31.03.2018-172038600 рублей</t>
  </si>
  <si>
    <t>в том числе  из ФБ план на 31.03.2018год 91400,00 рублей</t>
  </si>
  <si>
    <t>в том числе  из ФБ план на 31.03.2018год 654084500,00 рублей</t>
  </si>
  <si>
    <t>в том числе  из ФБ план на 31.03.2018год 13317500,00 рублей</t>
  </si>
  <si>
    <t>в том числе  из ФБ план на 31.03.2018год  43655600,00 рублей</t>
  </si>
  <si>
    <t>в том числе  из ФБ план на 31.03.2018год 25300,00 рублей</t>
  </si>
  <si>
    <t>в том числе  из ФБ план на 31.03.2018год 27300,00 рублей</t>
  </si>
  <si>
    <t>в том числе  из ФБ план на 31.03.2018год 5012300,00 рублей</t>
  </si>
  <si>
    <t>в том числе  из ФБ план на 31.03.2018год 208012200,00 рублей</t>
  </si>
  <si>
    <t xml:space="preserve"> в том числе  из ФБ план на 31.03.2018год  175017,82 рублей</t>
  </si>
  <si>
    <t xml:space="preserve"> в том числе  из ФБ план на 31.03.2018год  524976,67 рублей</t>
  </si>
  <si>
    <t xml:space="preserve"> в том числе  из ФБ план на 31.03.2018год 38114,00 рублей</t>
  </si>
  <si>
    <t xml:space="preserve"> в том числе  из ФБ план на 31.03.2018год  21483 рублей</t>
  </si>
  <si>
    <t>в том числе  из ФБ план на 31.03.2018год 2112900,00 рублей</t>
  </si>
  <si>
    <t>в том числе  из ФБ план на 31.03.2018год 153203200,00 рублей</t>
  </si>
  <si>
    <t>в том числе  из ФБ план на 31.03.2018год 12809200,00 рублей</t>
  </si>
  <si>
    <t>Субвенция на выполнение полномочий Российской Федерации по осуществлению ежемесячной выплаты в связи с рождением (усыновлением) первого ребенка</t>
  </si>
  <si>
    <t>в том числе  из ФБ план на 31.03.2018год 65938000,00 рублей</t>
  </si>
  <si>
    <t>(смерть полицейского)</t>
  </si>
  <si>
    <t>в т.ч. Софинансирование ПФР 234000,00 рублей</t>
  </si>
  <si>
    <t>Развитие взаимодействия с негосударственными организациями, включенными в реестр поставщиков социальных услуг Новгородской области</t>
  </si>
  <si>
    <t>Исполнение бюджета                  2018 года (Iквартал)</t>
  </si>
  <si>
    <t>Утвержденные ассигнования на 2018 год министерству труда и социальной защиты населения Новгородской области(уточненная роспись расходов на 30.03.2018)</t>
  </si>
  <si>
    <t>ГОКУ "Центр по организации социального обслуживания и предоставления социальных выплат", ГОКУ "Центр развития социального обслуживания"  5 бюджетных учреждений,  31 автономных учреждений</t>
  </si>
  <si>
    <t>ГОКУ "Центр по организации социального обслуживания и предоставления социальных выплат",  4 бюджетных учреждений,  32 автономных учреждений</t>
  </si>
  <si>
    <t>министерство труда и социальной защиты населения Новгородской обасти</t>
  </si>
  <si>
    <t>Исполнение бюджета                  2018 года (Iполугодие )</t>
  </si>
  <si>
    <t>Утвержденные ассигнования на 2018 год министерству труда и социальной защиты населения Новгородской области(уточненная роспись расходов на 30.06.2018)</t>
  </si>
  <si>
    <t>в том числе  из ФБ план на 30.06.2018год 25300,00 рублей</t>
  </si>
  <si>
    <t>в том числе  из ФБ - план на 30.06.2018-172038600 рублей</t>
  </si>
  <si>
    <t>в том числе  из ФБ план на 30.06.2018год 2529200,00 рублей</t>
  </si>
  <si>
    <t>в том числе  из ФБ план на 30.06.2018год 91400,00 рублей</t>
  </si>
  <si>
    <t>в том числе  из ФБ план на 30.06.2018год 2112900,00 рублей</t>
  </si>
  <si>
    <t>в том числе  из ФБ план на 30.06.2018год 12809200,00 рублей</t>
  </si>
  <si>
    <t>в том числе  из ФБ план на 30.06.2018год 13317500,00 рублей</t>
  </si>
  <si>
    <t>в том числе  из ФБ план на 30.06.2018год 654084500,00 рублей</t>
  </si>
  <si>
    <t>в том числе  из ФБ план на 30.06.2018год  43655600,00 рублей</t>
  </si>
  <si>
    <t xml:space="preserve"> в том числе  из ФБ план на 30.06.2018год  524976,67 рублей</t>
  </si>
  <si>
    <t xml:space="preserve"> в том числе  из ФБ план на 30.06.2018год  175017,82 рублей</t>
  </si>
  <si>
    <t xml:space="preserve"> в том числе  из ФБ план на 30.06.2018год 38114,00 рублей</t>
  </si>
  <si>
    <t xml:space="preserve"> в том числе  из ФБ план на 30.06.2018год  21483 рублей</t>
  </si>
  <si>
    <t>в том числе  из ФБ план на 30.06.2018год 153203200,00 рублей</t>
  </si>
  <si>
    <t>в том числе  из ФБ план на 30.06.2018год 27300,00 рублей</t>
  </si>
  <si>
    <t>в том числе  из ФБ план на 30.06.2018год 5012300,00 рублей</t>
  </si>
  <si>
    <t>в том числе  из ФБ план на 30.06.2018год 208012200,00 рублей</t>
  </si>
  <si>
    <t>в том числе  из ФБ план на 30.06.2018год 65938000,00 рублей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</si>
</sst>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;\ \-\ #,##0.00;\ \-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2" fillId="0" borderId="0" xfId="1" applyFont="1"/>
    <xf numFmtId="0" fontId="2" fillId="0" borderId="0" xfId="1" applyFont="1" applyBorder="1"/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0" xfId="1" applyFont="1"/>
    <xf numFmtId="0" fontId="9" fillId="0" borderId="1" xfId="0" applyFont="1" applyBorder="1" applyAlignment="1">
      <alignment horizontal="left" vertical="top" wrapText="1"/>
    </xf>
    <xf numFmtId="164" fontId="6" fillId="3" borderId="1" xfId="0" applyNumberFormat="1" applyFont="1" applyFill="1" applyBorder="1" applyAlignment="1" applyProtection="1">
      <alignment horizontal="left" vertical="top" wrapText="1" shrinkToFit="1"/>
    </xf>
    <xf numFmtId="165" fontId="6" fillId="3" borderId="1" xfId="1" applyNumberFormat="1" applyFont="1" applyFill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165" fontId="6" fillId="2" borderId="1" xfId="1" applyNumberFormat="1" applyFont="1" applyFill="1" applyBorder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0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166" fontId="8" fillId="0" borderId="1" xfId="0" applyNumberFormat="1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2" borderId="3" xfId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/>
    </xf>
    <xf numFmtId="2" fontId="8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vertical="top" wrapText="1"/>
    </xf>
    <xf numFmtId="0" fontId="6" fillId="6" borderId="3" xfId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center" vertical="top"/>
    </xf>
    <xf numFmtId="165" fontId="6" fillId="5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165" fontId="6" fillId="6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165" fontId="8" fillId="6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Border="1" applyAlignment="1">
      <alignment horizontal="center" vertical="top"/>
    </xf>
    <xf numFmtId="0" fontId="6" fillId="6" borderId="2" xfId="1" applyFont="1" applyFill="1" applyBorder="1" applyAlignment="1">
      <alignment vertical="top"/>
    </xf>
    <xf numFmtId="0" fontId="6" fillId="6" borderId="6" xfId="1" applyFont="1" applyFill="1" applyBorder="1" applyAlignment="1">
      <alignment vertical="top"/>
    </xf>
    <xf numFmtId="0" fontId="6" fillId="6" borderId="5" xfId="1" applyFont="1" applyFill="1" applyBorder="1" applyAlignment="1">
      <alignment vertical="top"/>
    </xf>
    <xf numFmtId="0" fontId="8" fillId="0" borderId="1" xfId="1" applyFont="1" applyFill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2" fontId="6" fillId="3" borderId="1" xfId="1" applyNumberFormat="1" applyFont="1" applyFill="1" applyBorder="1" applyAlignment="1">
      <alignment horizontal="center" vertical="top"/>
    </xf>
    <xf numFmtId="2" fontId="6" fillId="2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2" fontId="8" fillId="6" borderId="1" xfId="1" applyNumberFormat="1" applyFont="1" applyFill="1" applyBorder="1" applyAlignment="1">
      <alignment horizontal="center" vertical="top"/>
    </xf>
    <xf numFmtId="0" fontId="12" fillId="0" borderId="1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" fontId="13" fillId="0" borderId="1" xfId="1" applyNumberFormat="1" applyFont="1" applyBorder="1" applyAlignment="1">
      <alignment horizontal="center" vertical="top"/>
    </xf>
    <xf numFmtId="2" fontId="13" fillId="0" borderId="1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165" fontId="8" fillId="0" borderId="2" xfId="1" applyNumberFormat="1" applyFont="1" applyBorder="1" applyAlignment="1">
      <alignment horizontal="center" vertical="top"/>
    </xf>
    <xf numFmtId="0" fontId="14" fillId="0" borderId="1" xfId="0" applyFont="1" applyBorder="1"/>
    <xf numFmtId="0" fontId="8" fillId="0" borderId="2" xfId="1" applyFont="1" applyBorder="1" applyAlignment="1">
      <alignment vertical="top" wrapText="1"/>
    </xf>
    <xf numFmtId="165" fontId="6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2" fontId="8" fillId="0" borderId="2" xfId="1" applyNumberFormat="1" applyFont="1" applyBorder="1" applyAlignment="1">
      <alignment horizontal="center" vertical="top" wrapText="1"/>
    </xf>
    <xf numFmtId="0" fontId="8" fillId="6" borderId="2" xfId="1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8" fillId="6" borderId="1" xfId="1" applyFont="1" applyFill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 applyProtection="1">
      <alignment horizontal="center" vertical="top"/>
      <protection locked="0"/>
    </xf>
    <xf numFmtId="2" fontId="8" fillId="6" borderId="1" xfId="0" applyNumberFormat="1" applyFont="1" applyFill="1" applyBorder="1" applyAlignment="1" applyProtection="1">
      <alignment horizontal="center" vertical="top"/>
      <protection locked="0"/>
    </xf>
    <xf numFmtId="2" fontId="6" fillId="6" borderId="2" xfId="1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  <protection locked="0"/>
    </xf>
    <xf numFmtId="0" fontId="9" fillId="5" borderId="1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2" fontId="6" fillId="7" borderId="1" xfId="1" applyNumberFormat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0" fontId="8" fillId="0" borderId="4" xfId="0" applyNumberFormat="1" applyFont="1" applyBorder="1" applyAlignment="1" applyProtection="1">
      <alignment horizontal="center" vertical="top" wrapText="1"/>
      <protection locked="0"/>
    </xf>
    <xf numFmtId="165" fontId="8" fillId="0" borderId="2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6" fillId="6" borderId="10" xfId="1" applyFont="1" applyFill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165" fontId="8" fillId="0" borderId="2" xfId="1" applyNumberFormat="1" applyFont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  <protection locked="0"/>
    </xf>
    <xf numFmtId="2" fontId="8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  <protection locked="0"/>
    </xf>
    <xf numFmtId="2" fontId="6" fillId="0" borderId="2" xfId="1" applyNumberFormat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164" fontId="6" fillId="3" borderId="3" xfId="0" applyNumberFormat="1" applyFont="1" applyFill="1" applyBorder="1" applyAlignment="1" applyProtection="1">
      <alignment horizontal="center" vertical="top" wrapText="1" shrinkToFit="1"/>
    </xf>
    <xf numFmtId="164" fontId="6" fillId="3" borderId="4" xfId="0" applyNumberFormat="1" applyFont="1" applyFill="1" applyBorder="1" applyAlignment="1" applyProtection="1">
      <alignment horizontal="center" vertical="top" wrapText="1" shrinkToFit="1"/>
    </xf>
    <xf numFmtId="0" fontId="6" fillId="6" borderId="2" xfId="1" applyFont="1" applyFill="1" applyBorder="1" applyAlignment="1">
      <alignment horizontal="center" vertical="top" wrapText="1"/>
    </xf>
    <xf numFmtId="0" fontId="6" fillId="6" borderId="6" xfId="1" applyFont="1" applyFill="1" applyBorder="1" applyAlignment="1">
      <alignment horizontal="center" vertical="top" wrapText="1"/>
    </xf>
    <xf numFmtId="0" fontId="6" fillId="6" borderId="5" xfId="1" applyFont="1" applyFill="1" applyBorder="1" applyAlignment="1">
      <alignment horizontal="center" vertical="top" wrapText="1"/>
    </xf>
    <xf numFmtId="0" fontId="8" fillId="6" borderId="2" xfId="1" applyFont="1" applyFill="1" applyBorder="1" applyAlignment="1">
      <alignment horizontal="center" vertical="top" wrapText="1"/>
    </xf>
    <xf numFmtId="0" fontId="8" fillId="6" borderId="6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4" borderId="3" xfId="1" applyNumberFormat="1" applyFont="1" applyFill="1" applyBorder="1" applyAlignment="1">
      <alignment horizontal="center" vertical="top" wrapText="1"/>
    </xf>
    <xf numFmtId="0" fontId="8" fillId="4" borderId="4" xfId="1" applyNumberFormat="1" applyFont="1" applyFill="1" applyBorder="1" applyAlignment="1">
      <alignment horizontal="center" vertical="top" wrapText="1"/>
    </xf>
    <xf numFmtId="0" fontId="9" fillId="4" borderId="3" xfId="0" applyNumberFormat="1" applyFont="1" applyFill="1" applyBorder="1" applyAlignment="1">
      <alignment horizontal="center" vertical="top" wrapText="1"/>
    </xf>
    <xf numFmtId="0" fontId="9" fillId="4" borderId="4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6" borderId="2" xfId="1" applyFont="1" applyFill="1" applyBorder="1" applyAlignment="1">
      <alignment horizontal="center" vertical="top"/>
    </xf>
    <xf numFmtId="0" fontId="6" fillId="6" borderId="6" xfId="1" applyFont="1" applyFill="1" applyBorder="1" applyAlignment="1">
      <alignment horizontal="center" vertical="top"/>
    </xf>
    <xf numFmtId="0" fontId="6" fillId="6" borderId="5" xfId="1" applyFont="1" applyFill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4" borderId="11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/>
    </xf>
    <xf numFmtId="165" fontId="8" fillId="0" borderId="5" xfId="1" applyNumberFormat="1" applyFont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8" fillId="5" borderId="1" xfId="1" applyNumberFormat="1" applyFont="1" applyFill="1" applyBorder="1" applyAlignment="1">
      <alignment horizontal="center" vertical="top" wrapText="1"/>
    </xf>
    <xf numFmtId="0" fontId="8" fillId="5" borderId="1" xfId="0" applyNumberFormat="1" applyFont="1" applyFill="1" applyBorder="1" applyAlignment="1" applyProtection="1">
      <alignment horizontal="center" vertical="top" wrapText="1"/>
      <protection locked="0"/>
    </xf>
    <xf numFmtId="2" fontId="8" fillId="0" borderId="2" xfId="1" applyNumberFormat="1" applyFont="1" applyBorder="1" applyAlignment="1">
      <alignment horizontal="center" vertical="top"/>
    </xf>
    <xf numFmtId="2" fontId="8" fillId="0" borderId="5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6" borderId="9" xfId="1" applyFont="1" applyFill="1" applyBorder="1" applyAlignment="1">
      <alignment horizontal="center" vertical="top"/>
    </xf>
    <xf numFmtId="0" fontId="6" fillId="6" borderId="12" xfId="1" applyFont="1" applyFill="1" applyBorder="1" applyAlignment="1">
      <alignment horizontal="center" vertical="top"/>
    </xf>
    <xf numFmtId="0" fontId="6" fillId="6" borderId="10" xfId="1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165" fontId="6" fillId="4" borderId="1" xfId="1" applyNumberFormat="1" applyFont="1" applyFill="1" applyBorder="1" applyAlignment="1">
      <alignment horizontal="center" vertical="top"/>
    </xf>
    <xf numFmtId="2" fontId="6" fillId="4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5"/>
  <sheetViews>
    <sheetView view="pageBreakPreview" topLeftCell="A55" zoomScale="60" zoomScaleNormal="60" workbookViewId="0">
      <selection activeCell="A55" sqref="A55:A5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5" width="37.5703125" style="1" customWidth="1"/>
    <col min="6" max="6" width="32" style="1" customWidth="1"/>
    <col min="7" max="7" width="20.7109375" style="1" customWidth="1"/>
    <col min="8" max="222" width="8.85546875" style="1" customWidth="1"/>
    <col min="223" max="223" width="2.5703125" style="1" customWidth="1"/>
    <col min="224" max="224" width="46.85546875" style="1" customWidth="1"/>
    <col min="225" max="225" width="13.7109375" style="1" customWidth="1"/>
    <col min="226" max="232" width="0" style="1" hidden="1" customWidth="1"/>
    <col min="233" max="233" width="15.28515625" style="1" customWidth="1"/>
    <col min="234" max="16384" width="0" style="1" hidden="1"/>
  </cols>
  <sheetData>
    <row r="1" spans="1:6" ht="27.4" customHeight="1">
      <c r="C1" s="5" t="s">
        <v>4</v>
      </c>
    </row>
    <row r="2" spans="1:6" s="6" customFormat="1" ht="44.65" customHeight="1">
      <c r="A2" s="130"/>
      <c r="B2" s="95" t="s">
        <v>0</v>
      </c>
      <c r="C2" s="96"/>
      <c r="D2" s="91" t="s">
        <v>14</v>
      </c>
      <c r="E2" s="93" t="s">
        <v>84</v>
      </c>
      <c r="F2" s="134" t="s">
        <v>59</v>
      </c>
    </row>
    <row r="3" spans="1:6" s="6" customFormat="1" ht="58.5" customHeight="1">
      <c r="A3" s="131"/>
      <c r="B3" s="97"/>
      <c r="C3" s="98"/>
      <c r="D3" s="92"/>
      <c r="E3" s="94"/>
      <c r="F3" s="135"/>
    </row>
    <row r="4" spans="1:6" s="10" customFormat="1" ht="43.5" customHeight="1">
      <c r="A4" s="124">
        <v>1</v>
      </c>
      <c r="B4" s="101" t="s">
        <v>7</v>
      </c>
      <c r="C4" s="102"/>
      <c r="D4" s="9">
        <f>D5+D6+D7</f>
        <v>40272408</v>
      </c>
      <c r="E4" s="9">
        <f>E5+E6+E7</f>
        <v>40033747.399999999</v>
      </c>
      <c r="F4" s="111" t="s">
        <v>60</v>
      </c>
    </row>
    <row r="5" spans="1:6" s="10" customFormat="1" ht="26.25" customHeight="1">
      <c r="A5" s="125"/>
      <c r="B5" s="10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112"/>
    </row>
    <row r="6" spans="1:6" s="10" customFormat="1" ht="26.25" customHeight="1">
      <c r="A6" s="125"/>
      <c r="B6" s="106"/>
      <c r="C6" s="11" t="s">
        <v>17</v>
      </c>
      <c r="D6" s="12">
        <f>478800+804800+60600</f>
        <v>1344200</v>
      </c>
      <c r="E6" s="12">
        <f>478800+804800+60569</f>
        <v>1344169</v>
      </c>
      <c r="F6" s="112"/>
    </row>
    <row r="7" spans="1:6" s="10" customFormat="1" ht="27" customHeight="1">
      <c r="A7" s="126"/>
      <c r="B7" s="10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113"/>
    </row>
    <row r="8" spans="1:6" s="10" customFormat="1" ht="27.75" customHeight="1">
      <c r="A8" s="124">
        <v>2</v>
      </c>
      <c r="B8" s="103" t="s">
        <v>6</v>
      </c>
      <c r="C8" s="104"/>
      <c r="D8" s="9">
        <f>D9+D10+D11+D12+D13</f>
        <v>934259325</v>
      </c>
      <c r="E8" s="9">
        <f>E9+E10++E11+E12+E13</f>
        <v>934075828.82000005</v>
      </c>
      <c r="F8" s="111" t="s">
        <v>61</v>
      </c>
    </row>
    <row r="9" spans="1:6" s="10" customFormat="1" ht="28.5" customHeight="1">
      <c r="A9" s="125"/>
      <c r="B9" s="10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112"/>
    </row>
    <row r="10" spans="1:6" s="10" customFormat="1" ht="27.75" customHeight="1">
      <c r="A10" s="125"/>
      <c r="B10" s="10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112"/>
    </row>
    <row r="11" spans="1:6" s="10" customFormat="1" ht="27.75" customHeight="1">
      <c r="A11" s="125"/>
      <c r="B11" s="109"/>
      <c r="C11" s="11" t="s">
        <v>46</v>
      </c>
      <c r="D11" s="12">
        <f>10202225+73960812</f>
        <v>84163037</v>
      </c>
      <c r="E11" s="44">
        <f t="shared" ref="E11" si="0">10202225+73960812</f>
        <v>84163037</v>
      </c>
      <c r="F11" s="112"/>
    </row>
    <row r="12" spans="1:6" s="10" customFormat="1" ht="25.5" customHeight="1">
      <c r="A12" s="125"/>
      <c r="B12" s="109"/>
      <c r="C12" s="11" t="s">
        <v>47</v>
      </c>
      <c r="D12" s="12">
        <f>7368140+765458</f>
        <v>8133598</v>
      </c>
      <c r="E12" s="44">
        <f t="shared" ref="E12" si="1">7368140+765458</f>
        <v>8133598</v>
      </c>
      <c r="F12" s="112"/>
    </row>
    <row r="13" spans="1:6" s="10" customFormat="1" ht="25.5" customHeight="1">
      <c r="A13" s="126"/>
      <c r="B13" s="11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113"/>
    </row>
    <row r="14" spans="1:6" s="10" customFormat="1">
      <c r="A14" s="124">
        <v>3</v>
      </c>
      <c r="B14" s="30"/>
      <c r="C14" s="8" t="s">
        <v>5</v>
      </c>
      <c r="D14" s="9">
        <f>D15+D16+D17+D18+D19</f>
        <v>70204700</v>
      </c>
      <c r="E14" s="9">
        <f t="shared" ref="E14" si="2">E15+E16+E17+E18+E19</f>
        <v>69101984.709999993</v>
      </c>
      <c r="F14" s="136" t="s">
        <v>62</v>
      </c>
    </row>
    <row r="15" spans="1:6" s="10" customFormat="1" ht="18.75" customHeight="1">
      <c r="A15" s="125"/>
      <c r="B15" s="11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137"/>
    </row>
    <row r="16" spans="1:6" s="10" customFormat="1" ht="25.5" customHeight="1">
      <c r="A16" s="125"/>
      <c r="B16" s="112"/>
      <c r="C16" s="11" t="s">
        <v>37</v>
      </c>
      <c r="D16" s="12">
        <f>2816100+1303800+140000</f>
        <v>4259900</v>
      </c>
      <c r="E16" s="12">
        <v>3601351.58</v>
      </c>
      <c r="F16" s="137"/>
    </row>
    <row r="17" spans="1:7" s="10" customFormat="1" ht="22.5" customHeight="1">
      <c r="A17" s="125"/>
      <c r="B17" s="11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137"/>
    </row>
    <row r="18" spans="1:7" s="10" customFormat="1" ht="61.5" customHeight="1">
      <c r="A18" s="125"/>
      <c r="B18" s="112"/>
      <c r="C18" s="37" t="s">
        <v>15</v>
      </c>
      <c r="D18" s="12">
        <v>500000</v>
      </c>
      <c r="E18" s="12">
        <v>500000</v>
      </c>
      <c r="F18" s="137"/>
    </row>
    <row r="19" spans="1:7" s="10" customFormat="1" ht="52.5" customHeight="1">
      <c r="A19" s="126"/>
      <c r="B19" s="113"/>
      <c r="C19" s="7" t="s">
        <v>16</v>
      </c>
      <c r="D19" s="12">
        <v>150000</v>
      </c>
      <c r="E19" s="12">
        <v>150000</v>
      </c>
      <c r="F19" s="138"/>
    </row>
    <row r="20" spans="1:7" s="17" customFormat="1">
      <c r="A20" s="30">
        <v>4</v>
      </c>
      <c r="B20" s="120" t="s">
        <v>45</v>
      </c>
      <c r="C20" s="121"/>
      <c r="D20" s="9">
        <f>D22+D23+D24+D25+D26+D27+D35+D36+D40+D41+D42+D43+D44+D45+D46+D47+D48+D49+D28+D29+D30+D31+D32+D33+D34</f>
        <v>1459717911.8</v>
      </c>
      <c r="E20" s="9">
        <f>E22+E23+E24+E25+E26+E27+E35+E36+E40+E41+E42+E43+E44+E45+E46+E47+E48+E49+E28+E29+E30+E31+E32+E33+E34</f>
        <v>1373880572.27</v>
      </c>
      <c r="F20" s="49"/>
    </row>
    <row r="21" spans="1:7" s="17" customFormat="1">
      <c r="A21" s="33"/>
      <c r="B21" s="122" t="s">
        <v>12</v>
      </c>
      <c r="C21" s="123"/>
      <c r="D21" s="19"/>
      <c r="E21" s="19"/>
      <c r="F21" s="49"/>
    </row>
    <row r="22" spans="1:7" s="17" customFormat="1" ht="87" customHeight="1">
      <c r="A22" s="33"/>
      <c r="B22" s="118" t="s">
        <v>63</v>
      </c>
      <c r="C22" s="119"/>
      <c r="D22" s="14">
        <v>255000</v>
      </c>
      <c r="E22" s="14">
        <v>255000</v>
      </c>
      <c r="F22" s="49" t="s">
        <v>64</v>
      </c>
    </row>
    <row r="23" spans="1:7" s="17" customFormat="1" ht="102.75" customHeight="1">
      <c r="A23" s="33"/>
      <c r="B23" s="116" t="s">
        <v>65</v>
      </c>
      <c r="C23" s="117"/>
      <c r="D23" s="43">
        <v>95500</v>
      </c>
      <c r="E23" s="14">
        <v>95500</v>
      </c>
      <c r="F23" s="49" t="s">
        <v>66</v>
      </c>
    </row>
    <row r="24" spans="1:7" s="17" customFormat="1" ht="61.5" customHeight="1">
      <c r="A24" s="33"/>
      <c r="B24" s="116" t="s">
        <v>24</v>
      </c>
      <c r="C24" s="117"/>
      <c r="D24" s="14">
        <f>91500+70000+484000</f>
        <v>645500</v>
      </c>
      <c r="E24" s="14">
        <f>91500+20300+483896.7</f>
        <v>595696.69999999995</v>
      </c>
      <c r="F24" s="49"/>
    </row>
    <row r="25" spans="1:7" s="17" customFormat="1" ht="64.5" customHeight="1">
      <c r="A25" s="33"/>
      <c r="B25" s="99" t="s">
        <v>42</v>
      </c>
      <c r="C25" s="10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11" t="s">
        <v>67</v>
      </c>
      <c r="G25" s="20"/>
    </row>
    <row r="26" spans="1:7" s="17" customFormat="1" ht="83.25" customHeight="1">
      <c r="A26" s="33"/>
      <c r="B26" s="99" t="s">
        <v>18</v>
      </c>
      <c r="C26" s="100"/>
      <c r="D26" s="28">
        <v>4637300</v>
      </c>
      <c r="E26" s="28">
        <f>4029000+608300</f>
        <v>4637300</v>
      </c>
      <c r="F26" s="11" t="s">
        <v>68</v>
      </c>
      <c r="G26" s="10"/>
    </row>
    <row r="27" spans="1:7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13"/>
    </row>
    <row r="28" spans="1:7" s="10" customFormat="1" ht="65.25" customHeight="1">
      <c r="A28" s="46"/>
      <c r="B28" s="124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13"/>
    </row>
    <row r="29" spans="1:7" s="10" customFormat="1" ht="42" customHeight="1">
      <c r="A29" s="47"/>
      <c r="B29" s="125"/>
      <c r="C29" s="21" t="s">
        <v>31</v>
      </c>
      <c r="D29" s="12">
        <f>65500+1000</f>
        <v>66500</v>
      </c>
      <c r="E29" s="12">
        <f>30998.81</f>
        <v>30998.81</v>
      </c>
      <c r="F29" s="11" t="s">
        <v>69</v>
      </c>
    </row>
    <row r="30" spans="1:7" s="10" customFormat="1" ht="42" customHeight="1">
      <c r="A30" s="47"/>
      <c r="B30" s="125"/>
      <c r="C30" s="22" t="s">
        <v>11</v>
      </c>
      <c r="D30" s="12">
        <v>1943000</v>
      </c>
      <c r="E30" s="12">
        <v>1885583</v>
      </c>
      <c r="F30" s="13"/>
    </row>
    <row r="31" spans="1:7" s="10" customFormat="1" ht="42" customHeight="1">
      <c r="A31" s="47"/>
      <c r="B31" s="125"/>
      <c r="C31" s="21" t="s">
        <v>21</v>
      </c>
      <c r="D31" s="12">
        <f>4530547.8+10000</f>
        <v>4540547.8</v>
      </c>
      <c r="E31" s="12">
        <f>2416482.69+4921.41</f>
        <v>2421404.1</v>
      </c>
      <c r="F31" s="11" t="s">
        <v>70</v>
      </c>
    </row>
    <row r="32" spans="1:7" s="10" customFormat="1" ht="42" customHeight="1">
      <c r="A32" s="47"/>
      <c r="B32" s="125"/>
      <c r="C32" s="15" t="s">
        <v>28</v>
      </c>
      <c r="D32" s="35">
        <v>12738000</v>
      </c>
      <c r="E32" s="13">
        <v>12738000</v>
      </c>
      <c r="F32" s="11" t="s">
        <v>71</v>
      </c>
    </row>
    <row r="33" spans="1:6" s="10" customFormat="1" ht="42" customHeight="1">
      <c r="A33" s="47"/>
      <c r="B33" s="125"/>
      <c r="C33" s="23" t="s">
        <v>30</v>
      </c>
      <c r="D33" s="24">
        <v>9152800</v>
      </c>
      <c r="E33" s="36">
        <v>8702567.5</v>
      </c>
      <c r="F33" s="11" t="s">
        <v>72</v>
      </c>
    </row>
    <row r="34" spans="1:6" s="10" customFormat="1" ht="56.25">
      <c r="A34" s="48"/>
      <c r="B34" s="126"/>
      <c r="C34" s="23" t="s">
        <v>29</v>
      </c>
      <c r="D34" s="24">
        <v>39812000</v>
      </c>
      <c r="E34" s="36">
        <v>38602489.630000003</v>
      </c>
      <c r="F34" s="11" t="s">
        <v>73</v>
      </c>
    </row>
    <row r="35" spans="1:6" s="10" customFormat="1" ht="63.75" customHeight="1">
      <c r="A35" s="32"/>
      <c r="B35" s="99" t="s">
        <v>39</v>
      </c>
      <c r="C35" s="100"/>
      <c r="D35" s="28">
        <v>2912300</v>
      </c>
      <c r="E35" s="28">
        <v>2899022.56</v>
      </c>
      <c r="F35" s="50" t="s">
        <v>74</v>
      </c>
    </row>
    <row r="36" spans="1:6" s="10" customFormat="1" ht="86.25" customHeight="1">
      <c r="A36" s="124"/>
      <c r="B36" s="114" t="s">
        <v>40</v>
      </c>
      <c r="C36" s="115"/>
      <c r="D36" s="28">
        <f>13004200+D37+D39</f>
        <v>321082200</v>
      </c>
      <c r="E36" s="28">
        <f>E37+E39+12824804.28</f>
        <v>240324804.28</v>
      </c>
      <c r="F36" s="11" t="s">
        <v>75</v>
      </c>
    </row>
    <row r="37" spans="1:6" s="10" customFormat="1" ht="30" customHeight="1">
      <c r="A37" s="125"/>
      <c r="B37" s="127" t="s">
        <v>12</v>
      </c>
      <c r="C37" s="111" t="s">
        <v>55</v>
      </c>
      <c r="D37" s="142">
        <v>5000000</v>
      </c>
      <c r="E37" s="142">
        <v>5000000</v>
      </c>
      <c r="F37" s="111"/>
    </row>
    <row r="38" spans="1:6" s="10" customFormat="1" ht="33" customHeight="1">
      <c r="A38" s="125"/>
      <c r="B38" s="128"/>
      <c r="C38" s="113"/>
      <c r="D38" s="143"/>
      <c r="E38" s="143"/>
      <c r="F38" s="113"/>
    </row>
    <row r="39" spans="1:6" s="10" customFormat="1" ht="37.5">
      <c r="A39" s="126"/>
      <c r="B39" s="129"/>
      <c r="C39" s="11" t="s">
        <v>23</v>
      </c>
      <c r="D39" s="12">
        <f>60500000+242578000</f>
        <v>303078000</v>
      </c>
      <c r="E39" s="12">
        <f t="shared" ref="E39" si="3">60500000+162000000</f>
        <v>222500000</v>
      </c>
      <c r="F39" s="11" t="s">
        <v>76</v>
      </c>
    </row>
    <row r="40" spans="1:6" s="10" customFormat="1" ht="86.25" customHeight="1">
      <c r="A40" s="124"/>
      <c r="B40" s="99" t="s">
        <v>41</v>
      </c>
      <c r="C40" s="100"/>
      <c r="D40" s="28">
        <f>2120000+160000+117000+72000</f>
        <v>2469000</v>
      </c>
      <c r="E40" s="28">
        <f t="shared" ref="E40" si="4">2120000+160000+117000+72000</f>
        <v>2469000</v>
      </c>
      <c r="F40" s="11"/>
    </row>
    <row r="41" spans="1:6" s="10" customFormat="1" ht="42.75" customHeight="1">
      <c r="A41" s="125"/>
      <c r="B41" s="124" t="s">
        <v>44</v>
      </c>
      <c r="C41" s="11" t="s">
        <v>26</v>
      </c>
      <c r="D41" s="12">
        <v>100375000</v>
      </c>
      <c r="E41" s="12">
        <v>100375000</v>
      </c>
      <c r="F41" s="13"/>
    </row>
    <row r="42" spans="1:6" s="10" customFormat="1" ht="37.5">
      <c r="A42" s="125"/>
      <c r="B42" s="125"/>
      <c r="C42" s="11" t="s">
        <v>8</v>
      </c>
      <c r="D42" s="12">
        <v>15000</v>
      </c>
      <c r="E42" s="12">
        <v>0</v>
      </c>
      <c r="F42" s="13"/>
    </row>
    <row r="43" spans="1:6" s="10" customFormat="1" ht="37.5">
      <c r="A43" s="125"/>
      <c r="B43" s="125"/>
      <c r="C43" s="11" t="s">
        <v>9</v>
      </c>
      <c r="D43" s="12">
        <v>600000</v>
      </c>
      <c r="E43" s="12">
        <v>600000</v>
      </c>
      <c r="F43" s="13"/>
    </row>
    <row r="44" spans="1:6" s="10" customFormat="1" ht="56.25">
      <c r="A44" s="125"/>
      <c r="B44" s="125"/>
      <c r="C44" s="23" t="s">
        <v>20</v>
      </c>
      <c r="D44" s="12">
        <f>221495400+183735800</f>
        <v>405231200</v>
      </c>
      <c r="E44" s="12">
        <f t="shared" ref="E44" si="5">221495400+183735800</f>
        <v>405231200</v>
      </c>
      <c r="F44" s="11" t="s">
        <v>77</v>
      </c>
    </row>
    <row r="45" spans="1:6" s="10" customFormat="1" ht="37.5">
      <c r="A45" s="125"/>
      <c r="B45" s="125"/>
      <c r="C45" s="22" t="s">
        <v>10</v>
      </c>
      <c r="D45" s="12">
        <f>44300+1000</f>
        <v>45300</v>
      </c>
      <c r="E45" s="12">
        <v>0</v>
      </c>
      <c r="F45" s="11" t="s">
        <v>78</v>
      </c>
    </row>
    <row r="46" spans="1:6" s="10" customFormat="1" ht="46.5" customHeight="1">
      <c r="A46" s="125"/>
      <c r="B46" s="125"/>
      <c r="C46" s="22" t="s">
        <v>56</v>
      </c>
      <c r="D46" s="12">
        <f>38313700+13169600</f>
        <v>51483300</v>
      </c>
      <c r="E46" s="12">
        <f t="shared" ref="E46" si="6">38313700+13169600</f>
        <v>51483300</v>
      </c>
      <c r="F46" s="11" t="s">
        <v>79</v>
      </c>
    </row>
    <row r="47" spans="1:6" s="10" customFormat="1" ht="93.75">
      <c r="A47" s="125"/>
      <c r="B47" s="125"/>
      <c r="C47" s="34" t="s">
        <v>34</v>
      </c>
      <c r="D47" s="13">
        <v>38100</v>
      </c>
      <c r="E47" s="36">
        <v>12855.37</v>
      </c>
      <c r="F47" s="11" t="s">
        <v>80</v>
      </c>
    </row>
    <row r="48" spans="1:6" s="10" customFormat="1" ht="112.5">
      <c r="A48" s="125"/>
      <c r="B48" s="125"/>
      <c r="C48" s="34" t="s">
        <v>35</v>
      </c>
      <c r="D48" s="24">
        <v>4036300</v>
      </c>
      <c r="E48" s="36">
        <v>3469266.14</v>
      </c>
      <c r="F48" s="11" t="s">
        <v>81</v>
      </c>
    </row>
    <row r="49" spans="1:6" s="10" customFormat="1" ht="131.25">
      <c r="A49" s="126"/>
      <c r="B49" s="126"/>
      <c r="C49" s="34" t="s">
        <v>36</v>
      </c>
      <c r="D49" s="24">
        <v>188484500</v>
      </c>
      <c r="E49" s="36">
        <v>188484500</v>
      </c>
      <c r="F49" s="11" t="s">
        <v>82</v>
      </c>
    </row>
    <row r="50" spans="1:6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13"/>
    </row>
    <row r="51" spans="1:6" s="26" customFormat="1" ht="37.5" hidden="1">
      <c r="A51" s="33"/>
      <c r="B51" s="33"/>
      <c r="C51" s="25" t="s">
        <v>2</v>
      </c>
      <c r="D51" s="19"/>
      <c r="E51" s="19"/>
      <c r="F51" s="18"/>
    </row>
    <row r="52" spans="1:6" s="26" customFormat="1" ht="33.6" hidden="1" customHeight="1">
      <c r="A52" s="33"/>
      <c r="B52" s="33"/>
      <c r="C52" s="25" t="s">
        <v>3</v>
      </c>
      <c r="D52" s="19"/>
      <c r="E52" s="19"/>
      <c r="F52" s="18"/>
    </row>
    <row r="53" spans="1:6" s="10" customFormat="1" ht="33.6" hidden="1" customHeight="1">
      <c r="A53" s="32"/>
      <c r="B53" s="32"/>
      <c r="C53" s="27"/>
      <c r="D53" s="12"/>
      <c r="E53" s="12"/>
      <c r="F53" s="13"/>
    </row>
    <row r="54" spans="1:6" s="10" customFormat="1" ht="32.450000000000003" hidden="1" customHeight="1">
      <c r="A54" s="32"/>
      <c r="B54" s="32"/>
      <c r="C54" s="27"/>
      <c r="D54" s="12"/>
      <c r="E54" s="28"/>
      <c r="F54" s="13"/>
    </row>
    <row r="55" spans="1:6" s="10" customFormat="1" ht="38.25" customHeight="1">
      <c r="A55" s="145">
        <v>5</v>
      </c>
      <c r="B55" s="101" t="s">
        <v>57</v>
      </c>
      <c r="C55" s="102"/>
      <c r="D55" s="9">
        <f>D56+D57</f>
        <v>3883000</v>
      </c>
      <c r="E55" s="9">
        <f>E56+E57</f>
        <v>3806592.5</v>
      </c>
      <c r="F55" s="139"/>
    </row>
    <row r="56" spans="1:6" s="10" customFormat="1" ht="52.15" customHeight="1">
      <c r="A56" s="146"/>
      <c r="B56" s="127" t="s">
        <v>12</v>
      </c>
      <c r="C56" s="23" t="s">
        <v>32</v>
      </c>
      <c r="D56" s="12">
        <v>2881300</v>
      </c>
      <c r="E56" s="36">
        <v>2805176.5</v>
      </c>
      <c r="F56" s="140"/>
    </row>
    <row r="57" spans="1:6" s="10" customFormat="1" ht="100.5" customHeight="1">
      <c r="A57" s="147"/>
      <c r="B57" s="129"/>
      <c r="C57" s="15" t="s">
        <v>33</v>
      </c>
      <c r="D57" s="24">
        <v>1001700</v>
      </c>
      <c r="E57" s="36">
        <v>1001416</v>
      </c>
      <c r="F57" s="141"/>
    </row>
    <row r="58" spans="1:6" s="10" customFormat="1" ht="66.75" customHeight="1">
      <c r="A58" s="38">
        <v>6</v>
      </c>
      <c r="B58" s="101" t="s">
        <v>22</v>
      </c>
      <c r="C58" s="102"/>
      <c r="D58" s="9">
        <v>33309103</v>
      </c>
      <c r="E58" s="9">
        <v>33309102.949999999</v>
      </c>
      <c r="F58" s="13"/>
    </row>
    <row r="59" spans="1:6" s="10" customFormat="1" ht="144" customHeight="1">
      <c r="A59" s="39">
        <v>7</v>
      </c>
      <c r="B59" s="148" t="s">
        <v>43</v>
      </c>
      <c r="C59" s="148"/>
      <c r="D59" s="40">
        <v>3152500</v>
      </c>
      <c r="E59" s="40">
        <v>3130229.34</v>
      </c>
      <c r="F59" s="13"/>
    </row>
    <row r="60" spans="1:6" s="10" customFormat="1" ht="68.25" customHeight="1">
      <c r="A60" s="39">
        <v>8</v>
      </c>
      <c r="B60" s="149" t="s">
        <v>19</v>
      </c>
      <c r="C60" s="149"/>
      <c r="D60" s="41">
        <v>2633900</v>
      </c>
      <c r="E60" s="41">
        <v>1740839.97</v>
      </c>
      <c r="F60" s="11" t="s">
        <v>83</v>
      </c>
    </row>
    <row r="61" spans="1:6" s="10" customFormat="1" ht="60" customHeight="1">
      <c r="A61" s="39">
        <v>9</v>
      </c>
      <c r="B61" s="144" t="s">
        <v>27</v>
      </c>
      <c r="C61" s="144"/>
      <c r="D61" s="41">
        <v>100000</v>
      </c>
      <c r="E61" s="41">
        <v>100000</v>
      </c>
      <c r="F61" s="13"/>
    </row>
    <row r="62" spans="1:6" s="10" customFormat="1">
      <c r="A62" s="31"/>
      <c r="B62" s="132" t="s">
        <v>58</v>
      </c>
      <c r="C62" s="133"/>
      <c r="D62" s="45">
        <f>D4+D8+D14+D20+D55+D58+D59+D60+D61</f>
        <v>2547532847.8000002</v>
      </c>
      <c r="E62" s="45">
        <f>E4+E8+E14+E20+E55+E58+E59+E60+E61</f>
        <v>2459178897.9599996</v>
      </c>
      <c r="F62" s="13"/>
    </row>
    <row r="63" spans="1:6" s="10" customFormat="1">
      <c r="C63" s="29"/>
    </row>
    <row r="64" spans="1:6" s="10" customFormat="1"/>
    <row r="65" spans="3:3" s="10" customFormat="1"/>
    <row r="76" spans="3:3">
      <c r="C76" s="4"/>
    </row>
    <row r="78" spans="3:3">
      <c r="C78" s="4"/>
    </row>
    <row r="675" spans="5:5">
      <c r="E675" s="2"/>
    </row>
  </sheetData>
  <mergeCells count="45">
    <mergeCell ref="A36:A39"/>
    <mergeCell ref="D37:D38"/>
    <mergeCell ref="A55:A57"/>
    <mergeCell ref="B59:C59"/>
    <mergeCell ref="B60:C60"/>
    <mergeCell ref="B55:C55"/>
    <mergeCell ref="B56:B57"/>
    <mergeCell ref="B58:C58"/>
    <mergeCell ref="A2:A3"/>
    <mergeCell ref="B62:C62"/>
    <mergeCell ref="F2:F3"/>
    <mergeCell ref="F4:F7"/>
    <mergeCell ref="F8:F13"/>
    <mergeCell ref="F14:F19"/>
    <mergeCell ref="F37:F38"/>
    <mergeCell ref="F55:F57"/>
    <mergeCell ref="E37:E38"/>
    <mergeCell ref="A14:A19"/>
    <mergeCell ref="A8:A13"/>
    <mergeCell ref="A4:A7"/>
    <mergeCell ref="B61:C61"/>
    <mergeCell ref="A40:A49"/>
    <mergeCell ref="B40:C40"/>
    <mergeCell ref="B41:B49"/>
    <mergeCell ref="B21:C21"/>
    <mergeCell ref="B28:B34"/>
    <mergeCell ref="B36:C36"/>
    <mergeCell ref="B37:B39"/>
    <mergeCell ref="C37:C38"/>
    <mergeCell ref="D2:D3"/>
    <mergeCell ref="E2:E3"/>
    <mergeCell ref="B2:C3"/>
    <mergeCell ref="B35:C35"/>
    <mergeCell ref="B4:C4"/>
    <mergeCell ref="B8:C8"/>
    <mergeCell ref="B5:B7"/>
    <mergeCell ref="B9:B13"/>
    <mergeCell ref="B15:B19"/>
    <mergeCell ref="B27:C27"/>
    <mergeCell ref="B26:C26"/>
    <mergeCell ref="B25:C25"/>
    <mergeCell ref="B24:C24"/>
    <mergeCell ref="B23:C23"/>
    <mergeCell ref="B22:C22"/>
    <mergeCell ref="B20:C20"/>
  </mergeCells>
  <pageMargins left="0.15748031496062992" right="0.15748031496062992" top="0.19685039370078741" bottom="0.19685039370078741" header="0.15748031496062992" footer="0.15748031496062992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D1" zoomScale="60" zoomScaleNormal="60" workbookViewId="0">
      <selection activeCell="D63" sqref="D63:H63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customWidth="1"/>
    <col min="5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130"/>
      <c r="B2" s="95" t="s">
        <v>0</v>
      </c>
      <c r="C2" s="96"/>
      <c r="D2" s="91" t="s">
        <v>14</v>
      </c>
      <c r="E2" s="93" t="s">
        <v>84</v>
      </c>
      <c r="F2" s="91" t="s">
        <v>85</v>
      </c>
      <c r="G2" s="91" t="s">
        <v>99</v>
      </c>
      <c r="H2" s="93" t="s">
        <v>86</v>
      </c>
      <c r="I2" s="134" t="s">
        <v>59</v>
      </c>
    </row>
    <row r="3" spans="1:9" s="6" customFormat="1" ht="105" customHeight="1">
      <c r="A3" s="131"/>
      <c r="B3" s="97"/>
      <c r="C3" s="98"/>
      <c r="D3" s="92"/>
      <c r="E3" s="94"/>
      <c r="F3" s="92"/>
      <c r="G3" s="92"/>
      <c r="H3" s="94"/>
      <c r="I3" s="135"/>
    </row>
    <row r="4" spans="1:9" s="10" customFormat="1" ht="43.5" customHeight="1">
      <c r="A4" s="124">
        <v>1</v>
      </c>
      <c r="B4" s="101" t="s">
        <v>7</v>
      </c>
      <c r="C4" s="102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40935900</v>
      </c>
      <c r="H4" s="51">
        <f t="shared" si="0"/>
        <v>17152878.32</v>
      </c>
      <c r="I4" s="111" t="s">
        <v>60</v>
      </c>
    </row>
    <row r="5" spans="1:9" s="10" customFormat="1" ht="26.25" customHeight="1">
      <c r="A5" s="125"/>
      <c r="B5" s="10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v>31470200</v>
      </c>
      <c r="H5" s="35">
        <v>13256762.300000001</v>
      </c>
      <c r="I5" s="112"/>
    </row>
    <row r="6" spans="1:9" s="10" customFormat="1" ht="26.25" customHeight="1">
      <c r="A6" s="125"/>
      <c r="B6" s="106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v>744092.47</v>
      </c>
      <c r="I6" s="112"/>
    </row>
    <row r="7" spans="1:9" s="10" customFormat="1" ht="27" customHeight="1">
      <c r="A7" s="126"/>
      <c r="B7" s="10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v>3152023.55</v>
      </c>
      <c r="I7" s="113"/>
    </row>
    <row r="8" spans="1:9" s="10" customFormat="1" ht="27.75" customHeight="1">
      <c r="A8" s="124">
        <v>2</v>
      </c>
      <c r="B8" s="103" t="s">
        <v>6</v>
      </c>
      <c r="C8" s="104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947336100</v>
      </c>
      <c r="H8" s="51">
        <f t="shared" si="1"/>
        <v>390373826.87</v>
      </c>
      <c r="I8" s="111" t="s">
        <v>61</v>
      </c>
    </row>
    <row r="9" spans="1:9" s="10" customFormat="1" ht="28.5" customHeight="1">
      <c r="A9" s="125"/>
      <c r="B9" s="10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8330969.68+2495334.13+284931631</f>
        <v>295757934.81</v>
      </c>
      <c r="I9" s="112"/>
    </row>
    <row r="10" spans="1:9" s="10" customFormat="1" ht="27.75" customHeight="1">
      <c r="A10" s="125"/>
      <c r="B10" s="10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130000+108300+10000+53562576.35</f>
        <v>53810876.350000001</v>
      </c>
      <c r="I10" s="112"/>
    </row>
    <row r="11" spans="1:9" s="10" customFormat="1" ht="27.75" customHeight="1">
      <c r="A11" s="125"/>
      <c r="B11" s="109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v>28537992</v>
      </c>
      <c r="I11" s="112"/>
    </row>
    <row r="12" spans="1:9" s="10" customFormat="1" ht="25.5" customHeight="1">
      <c r="A12" s="125"/>
      <c r="B12" s="109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55">
        <v>2849094</v>
      </c>
      <c r="I12" s="112"/>
    </row>
    <row r="13" spans="1:9" s="10" customFormat="1" ht="25.5" customHeight="1">
      <c r="A13" s="126"/>
      <c r="B13" s="11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v>9417929.7100000009</v>
      </c>
      <c r="I13" s="113"/>
    </row>
    <row r="14" spans="1:9" s="10" customFormat="1">
      <c r="A14" s="124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70238900</v>
      </c>
      <c r="H14" s="51">
        <f>H15+H16+H17+H18+H19</f>
        <v>26946339.149999999</v>
      </c>
      <c r="I14" s="136" t="s">
        <v>62</v>
      </c>
    </row>
    <row r="15" spans="1:9" s="10" customFormat="1" ht="18.75" customHeight="1">
      <c r="A15" s="125"/>
      <c r="B15" s="11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16808143.72+4931340.33</f>
        <v>21739484.049999997</v>
      </c>
      <c r="I15" s="137"/>
    </row>
    <row r="16" spans="1:9" s="10" customFormat="1" ht="25.5" customHeight="1">
      <c r="A16" s="125"/>
      <c r="B16" s="112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1588107.24+537516.64+26696.81</f>
        <v>2152320.69</v>
      </c>
      <c r="I16" s="137"/>
    </row>
    <row r="17" spans="1:10" s="10" customFormat="1" ht="22.5" customHeight="1">
      <c r="A17" s="125"/>
      <c r="B17" s="11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v>3054534.41</v>
      </c>
      <c r="I17" s="137"/>
    </row>
    <row r="18" spans="1:10" s="10" customFormat="1" ht="61.5" customHeight="1">
      <c r="A18" s="125"/>
      <c r="B18" s="112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37"/>
    </row>
    <row r="19" spans="1:10" s="10" customFormat="1" ht="52.5" customHeight="1">
      <c r="A19" s="126"/>
      <c r="B19" s="11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8"/>
    </row>
    <row r="20" spans="1:10" s="17" customFormat="1">
      <c r="A20" s="30">
        <v>4</v>
      </c>
      <c r="B20" s="120" t="s">
        <v>45</v>
      </c>
      <c r="C20" s="121"/>
      <c r="D20" s="9">
        <f>D22+D23+D24+D25+D26+D27+D35+D36+D40+D41+D42+D43+D44+D45+D46+D47+D48+D49+D28+D29+D30+D31+D32+D33+D34</f>
        <v>1459717911.8</v>
      </c>
      <c r="E20" s="9">
        <f t="shared" ref="E20:H20" si="5">E22+E23+E24+E25+E26+E27+E35+E36+E40+E41+E42+E43+E44+E45+E46+E47+E48+E49+E28+E29+E30+E31+E32+E33+E34</f>
        <v>1373880572.27</v>
      </c>
      <c r="F20" s="51">
        <f t="shared" si="5"/>
        <v>1117233800</v>
      </c>
      <c r="G20" s="51">
        <f t="shared" si="5"/>
        <v>1280042240</v>
      </c>
      <c r="H20" s="51">
        <f t="shared" si="5"/>
        <v>523705793.94999999</v>
      </c>
      <c r="I20" s="49"/>
    </row>
    <row r="21" spans="1:10" s="17" customFormat="1">
      <c r="A21" s="33"/>
      <c r="B21" s="122" t="s">
        <v>12</v>
      </c>
      <c r="C21" s="12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8" t="s">
        <v>63</v>
      </c>
      <c r="C22" s="119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16" t="s">
        <v>87</v>
      </c>
      <c r="C23" s="117"/>
      <c r="D23" s="43">
        <v>95500</v>
      </c>
      <c r="E23" s="14">
        <v>95500</v>
      </c>
      <c r="F23" s="43">
        <v>0</v>
      </c>
      <c r="G23" s="43">
        <v>95000</v>
      </c>
      <c r="H23" s="43">
        <v>31000</v>
      </c>
      <c r="I23" s="49" t="s">
        <v>66</v>
      </c>
    </row>
    <row r="24" spans="1:10" s="17" customFormat="1" ht="61.5" customHeight="1">
      <c r="A24" s="33"/>
      <c r="B24" s="116" t="s">
        <v>88</v>
      </c>
      <c r="C24" s="117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v>973004</v>
      </c>
      <c r="I24" s="49"/>
    </row>
    <row r="25" spans="1:10" s="17" customFormat="1" ht="64.5" customHeight="1">
      <c r="A25" s="33"/>
      <c r="B25" s="99" t="s">
        <v>42</v>
      </c>
      <c r="C25" s="10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8444.9+13824.93+2730535.32+437023+267+53400+145380+30000+58884+13600+63821585.57</f>
        <v>67312944.719999999</v>
      </c>
      <c r="I25" s="11" t="s">
        <v>91</v>
      </c>
      <c r="J25" s="20"/>
    </row>
    <row r="26" spans="1:10" s="17" customFormat="1" ht="109.5" customHeight="1">
      <c r="A26" s="33"/>
      <c r="B26" s="99" t="s">
        <v>89</v>
      </c>
      <c r="C26" s="100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1213000</v>
      </c>
      <c r="I26" s="11" t="s">
        <v>90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74432</f>
        <v>74432</v>
      </c>
      <c r="I27" s="13"/>
    </row>
    <row r="28" spans="1:10" s="10" customFormat="1" ht="65.25" customHeight="1">
      <c r="A28" s="46"/>
      <c r="B28" s="124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v>39696998.880000003</v>
      </c>
      <c r="I28" s="13"/>
    </row>
    <row r="29" spans="1:10" s="10" customFormat="1" ht="42" customHeight="1">
      <c r="A29" s="47"/>
      <c r="B29" s="125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14376.53</v>
      </c>
      <c r="I29" s="11" t="s">
        <v>92</v>
      </c>
    </row>
    <row r="30" spans="1:10" s="10" customFormat="1" ht="42" customHeight="1">
      <c r="A30" s="47"/>
      <c r="B30" s="125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173376</v>
      </c>
      <c r="I30" s="13"/>
    </row>
    <row r="31" spans="1:10" s="10" customFormat="1" ht="104.25" customHeight="1">
      <c r="A31" s="47"/>
      <c r="B31" s="125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v>2142996.9700000002</v>
      </c>
      <c r="I31" s="11" t="s">
        <v>93</v>
      </c>
    </row>
    <row r="32" spans="1:10" s="10" customFormat="1" ht="62.25" customHeight="1">
      <c r="A32" s="47"/>
      <c r="B32" s="125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v>5321796.32</v>
      </c>
      <c r="I32" s="11" t="s">
        <v>94</v>
      </c>
    </row>
    <row r="33" spans="1:9" s="10" customFormat="1" ht="60.75" customHeight="1">
      <c r="A33" s="47"/>
      <c r="B33" s="125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3943058.19</v>
      </c>
      <c r="I33" s="11" t="s">
        <v>111</v>
      </c>
    </row>
    <row r="34" spans="1:9" s="10" customFormat="1" ht="56.25">
      <c r="A34" s="48"/>
      <c r="B34" s="126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40787340.799999997</v>
      </c>
      <c r="I34" s="11" t="s">
        <v>95</v>
      </c>
    </row>
    <row r="35" spans="1:9" s="10" customFormat="1" ht="114.75" customHeight="1">
      <c r="A35" s="32"/>
      <c r="B35" s="99" t="s">
        <v>97</v>
      </c>
      <c r="C35" s="100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205800+536080+842000</f>
        <v>1583880</v>
      </c>
      <c r="I35" s="56" t="s">
        <v>96</v>
      </c>
    </row>
    <row r="36" spans="1:9" s="10" customFormat="1" ht="86.25" customHeight="1">
      <c r="A36" s="124"/>
      <c r="B36" s="114" t="s">
        <v>98</v>
      </c>
      <c r="C36" s="115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H37+H39+3146140</f>
        <v>35234188.849999994</v>
      </c>
      <c r="I36" s="11" t="s">
        <v>100</v>
      </c>
    </row>
    <row r="37" spans="1:9" s="10" customFormat="1" ht="30" customHeight="1">
      <c r="A37" s="125"/>
      <c r="B37" s="127" t="s">
        <v>12</v>
      </c>
      <c r="C37" s="111" t="s">
        <v>55</v>
      </c>
      <c r="D37" s="142">
        <v>5000000</v>
      </c>
      <c r="E37" s="142">
        <v>5000000</v>
      </c>
      <c r="F37" s="150">
        <v>10000000</v>
      </c>
      <c r="G37" s="150">
        <v>10000000</v>
      </c>
      <c r="H37" s="150">
        <v>100000</v>
      </c>
      <c r="I37" s="111"/>
    </row>
    <row r="38" spans="1:9" s="10" customFormat="1" ht="33" customHeight="1">
      <c r="A38" s="125"/>
      <c r="B38" s="128"/>
      <c r="C38" s="113"/>
      <c r="D38" s="143"/>
      <c r="E38" s="143"/>
      <c r="F38" s="151"/>
      <c r="G38" s="151"/>
      <c r="H38" s="151"/>
      <c r="I38" s="113"/>
    </row>
    <row r="39" spans="1:9" s="10" customFormat="1" ht="37.5">
      <c r="A39" s="126"/>
      <c r="B39" s="129"/>
      <c r="C39" s="11" t="s">
        <v>23</v>
      </c>
      <c r="D39" s="12">
        <f>60500000+242578000</f>
        <v>303078000</v>
      </c>
      <c r="E39" s="12">
        <f t="shared" ref="E39" si="6">60500000+162000000</f>
        <v>222500000</v>
      </c>
      <c r="F39" s="35">
        <v>112477000</v>
      </c>
      <c r="G39" s="35">
        <v>112477000</v>
      </c>
      <c r="H39" s="35">
        <f>194367.99+31793680.86</f>
        <v>31988048.849999998</v>
      </c>
      <c r="I39" s="11" t="s">
        <v>101</v>
      </c>
    </row>
    <row r="40" spans="1:9" s="10" customFormat="1" ht="86.25" customHeight="1">
      <c r="A40" s="124"/>
      <c r="B40" s="99" t="s">
        <v>41</v>
      </c>
      <c r="C40" s="100"/>
      <c r="D40" s="28">
        <f>2120000+160000+117000+72000</f>
        <v>2469000</v>
      </c>
      <c r="E40" s="28">
        <f t="shared" ref="E40" si="7"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v>75000</v>
      </c>
      <c r="I40" s="11"/>
    </row>
    <row r="41" spans="1:9" s="10" customFormat="1" ht="42.75" customHeight="1">
      <c r="A41" s="125"/>
      <c r="B41" s="124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v>51110009.539999999</v>
      </c>
      <c r="I41" s="13"/>
    </row>
    <row r="42" spans="1:9" s="10" customFormat="1" ht="37.5">
      <c r="A42" s="125"/>
      <c r="B42" s="125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125"/>
      <c r="B43" s="125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125"/>
      <c r="B44" s="125"/>
      <c r="C44" s="23" t="s">
        <v>20</v>
      </c>
      <c r="D44" s="12">
        <f>221495400+183735800</f>
        <v>405231200</v>
      </c>
      <c r="E44" s="12">
        <f t="shared" ref="E44" si="8">221495400+183735800</f>
        <v>405231200</v>
      </c>
      <c r="F44" s="35">
        <v>266028200</v>
      </c>
      <c r="G44" s="35">
        <v>420993200</v>
      </c>
      <c r="H44" s="35">
        <v>180005895.84999999</v>
      </c>
      <c r="I44" s="11" t="s">
        <v>105</v>
      </c>
    </row>
    <row r="45" spans="1:9" s="10" customFormat="1" ht="56.25">
      <c r="A45" s="125"/>
      <c r="B45" s="125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106</v>
      </c>
    </row>
    <row r="46" spans="1:9" s="10" customFormat="1" ht="46.5" customHeight="1">
      <c r="A46" s="125"/>
      <c r="B46" s="125"/>
      <c r="C46" s="22" t="s">
        <v>56</v>
      </c>
      <c r="D46" s="12">
        <f>38313700+13169600</f>
        <v>51483300</v>
      </c>
      <c r="E46" s="12">
        <f t="shared" ref="E46" si="9">38313700+13169600</f>
        <v>51483300</v>
      </c>
      <c r="F46" s="35">
        <v>38313700</v>
      </c>
      <c r="G46" s="35">
        <v>38313700</v>
      </c>
      <c r="H46" s="35">
        <v>11500000</v>
      </c>
      <c r="I46" s="11"/>
    </row>
    <row r="47" spans="1:9" s="10" customFormat="1" ht="93.75">
      <c r="A47" s="125"/>
      <c r="B47" s="125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104</v>
      </c>
    </row>
    <row r="48" spans="1:9" s="10" customFormat="1" ht="112.5">
      <c r="A48" s="125"/>
      <c r="B48" s="125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1734909.82</v>
      </c>
      <c r="I48" s="11" t="s">
        <v>107</v>
      </c>
    </row>
    <row r="49" spans="1:9" s="10" customFormat="1" ht="131.25">
      <c r="A49" s="126"/>
      <c r="B49" s="126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80777585.480000004</v>
      </c>
      <c r="I49" s="11" t="s">
        <v>108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145">
        <v>5</v>
      </c>
      <c r="B55" s="101" t="s">
        <v>57</v>
      </c>
      <c r="C55" s="102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211441800</v>
      </c>
      <c r="I55" s="139"/>
    </row>
    <row r="56" spans="1:9" s="10" customFormat="1" ht="52.15" customHeight="1">
      <c r="A56" s="146"/>
      <c r="B56" s="127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570000</v>
      </c>
      <c r="I56" s="140"/>
    </row>
    <row r="57" spans="1:9" s="10" customFormat="1" ht="100.5" customHeight="1">
      <c r="A57" s="147"/>
      <c r="B57" s="129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41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210871800</v>
      </c>
      <c r="I58" s="11" t="s">
        <v>110</v>
      </c>
    </row>
    <row r="59" spans="1:9" s="10" customFormat="1" ht="66.75" customHeight="1">
      <c r="A59" s="38">
        <v>6</v>
      </c>
      <c r="B59" s="101" t="s">
        <v>22</v>
      </c>
      <c r="C59" s="102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17368405.649999999</v>
      </c>
      <c r="I59" s="13"/>
    </row>
    <row r="60" spans="1:9" s="10" customFormat="1" ht="144" customHeight="1">
      <c r="A60" s="39">
        <v>7</v>
      </c>
      <c r="B60" s="148" t="s">
        <v>43</v>
      </c>
      <c r="C60" s="148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1041142.84</v>
      </c>
      <c r="I60" s="13"/>
    </row>
    <row r="61" spans="1:9" s="10" customFormat="1" ht="68.25" customHeight="1">
      <c r="A61" s="39">
        <v>8</v>
      </c>
      <c r="B61" s="149" t="s">
        <v>102</v>
      </c>
      <c r="C61" s="149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44" t="s">
        <v>27</v>
      </c>
      <c r="C62" s="144"/>
      <c r="D62" s="41">
        <v>100000</v>
      </c>
      <c r="E62" s="41">
        <v>100000</v>
      </c>
      <c r="F62" s="54">
        <v>0</v>
      </c>
      <c r="G62" s="54">
        <v>2300000</v>
      </c>
      <c r="H62" s="54">
        <v>1800000</v>
      </c>
      <c r="I62" s="11" t="s">
        <v>103</v>
      </c>
    </row>
    <row r="63" spans="1:9" s="10" customFormat="1" ht="39" customHeight="1">
      <c r="A63" s="31"/>
      <c r="B63" s="132" t="s">
        <v>58</v>
      </c>
      <c r="C63" s="133"/>
      <c r="D63" s="58">
        <f>D4+D8+D14+D20+D55+D59+D60+D61+D62</f>
        <v>2547532847.8000002</v>
      </c>
      <c r="E63" s="58">
        <f>E4+E8+E14+E20+E55+E59+E60+E61+E62</f>
        <v>2459178897.9599996</v>
      </c>
      <c r="F63" s="59">
        <f t="shared" ref="F63:H63" si="10">F4+F8+F14+F20+F55+F59+F60+F61+F62</f>
        <v>2892353600</v>
      </c>
      <c r="G63" s="59">
        <f t="shared" si="10"/>
        <v>3062677440</v>
      </c>
      <c r="H63" s="59">
        <f t="shared" si="10"/>
        <v>1189830186.78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B63:C63"/>
    <mergeCell ref="F2:F3"/>
    <mergeCell ref="G2:G3"/>
    <mergeCell ref="B23:C23"/>
    <mergeCell ref="B24:C24"/>
    <mergeCell ref="B25:C25"/>
    <mergeCell ref="B20:C20"/>
    <mergeCell ref="B21:C21"/>
    <mergeCell ref="B22:C22"/>
    <mergeCell ref="B61:C61"/>
    <mergeCell ref="B62:C62"/>
    <mergeCell ref="A55:A57"/>
    <mergeCell ref="B55:C55"/>
    <mergeCell ref="A40:A49"/>
    <mergeCell ref="B26:C26"/>
    <mergeCell ref="B27:C27"/>
    <mergeCell ref="B28:B34"/>
    <mergeCell ref="B35:C35"/>
    <mergeCell ref="A36:A39"/>
    <mergeCell ref="B36:C36"/>
    <mergeCell ref="I55:I57"/>
    <mergeCell ref="B56:B57"/>
    <mergeCell ref="B59:C59"/>
    <mergeCell ref="B60:C60"/>
    <mergeCell ref="D37:D38"/>
    <mergeCell ref="E37:E38"/>
    <mergeCell ref="I37:I38"/>
    <mergeCell ref="B40:C40"/>
    <mergeCell ref="B41:B49"/>
    <mergeCell ref="B37:B39"/>
    <mergeCell ref="C37:C38"/>
    <mergeCell ref="F37:F38"/>
    <mergeCell ref="G37:G38"/>
    <mergeCell ref="H37:H38"/>
    <mergeCell ref="A8:A13"/>
    <mergeCell ref="B8:C8"/>
    <mergeCell ref="I8:I13"/>
    <mergeCell ref="B9:B13"/>
    <mergeCell ref="A14:A19"/>
    <mergeCell ref="I14:I19"/>
    <mergeCell ref="B15:B19"/>
    <mergeCell ref="A4:A7"/>
    <mergeCell ref="B4:C4"/>
    <mergeCell ref="I4:I7"/>
    <mergeCell ref="B5:B7"/>
    <mergeCell ref="A2:A3"/>
    <mergeCell ref="B2:C3"/>
    <mergeCell ref="D2:D3"/>
    <mergeCell ref="E2:E3"/>
    <mergeCell ref="I2:I3"/>
    <mergeCell ref="H2:H3"/>
  </mergeCells>
  <pageMargins left="0.15748031496062992" right="0.15748031496062992" top="0.19685039370078741" bottom="0.19685039370078741" header="0.15748031496062992" footer="0.15748031496062992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6"/>
  <sheetViews>
    <sheetView view="pageBreakPreview" topLeftCell="B22" zoomScale="60" zoomScaleNormal="60" workbookViewId="0">
      <selection activeCell="F27" sqref="F2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44.65" customHeight="1">
      <c r="A2" s="130"/>
      <c r="B2" s="95" t="s">
        <v>0</v>
      </c>
      <c r="C2" s="96"/>
      <c r="D2" s="91" t="s">
        <v>14</v>
      </c>
      <c r="E2" s="93" t="s">
        <v>84</v>
      </c>
      <c r="F2" s="91" t="s">
        <v>85</v>
      </c>
      <c r="G2" s="91" t="s">
        <v>99</v>
      </c>
      <c r="H2" s="93" t="s">
        <v>112</v>
      </c>
      <c r="I2" s="134" t="s">
        <v>59</v>
      </c>
    </row>
    <row r="3" spans="1:9" s="6" customFormat="1" ht="105" customHeight="1">
      <c r="A3" s="131"/>
      <c r="B3" s="97"/>
      <c r="C3" s="98"/>
      <c r="D3" s="92"/>
      <c r="E3" s="94"/>
      <c r="F3" s="92"/>
      <c r="G3" s="92"/>
      <c r="H3" s="94"/>
      <c r="I3" s="135"/>
    </row>
    <row r="4" spans="1:9" s="10" customFormat="1" ht="43.5" customHeight="1">
      <c r="A4" s="124">
        <v>1</v>
      </c>
      <c r="B4" s="101" t="s">
        <v>7</v>
      </c>
      <c r="C4" s="102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40935900</v>
      </c>
      <c r="H4" s="51">
        <f t="shared" si="0"/>
        <v>20407360.5</v>
      </c>
      <c r="I4" s="111" t="s">
        <v>60</v>
      </c>
    </row>
    <row r="5" spans="1:9" s="10" customFormat="1" ht="26.25" customHeight="1">
      <c r="A5" s="125"/>
      <c r="B5" s="10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24356100+7114100</f>
        <v>31470200</v>
      </c>
      <c r="H5" s="35">
        <f>12422713.74+3659325.26</f>
        <v>16082039</v>
      </c>
      <c r="I5" s="112"/>
    </row>
    <row r="6" spans="1:9" s="10" customFormat="1" ht="26.25" customHeight="1">
      <c r="A6" s="125"/>
      <c r="B6" s="106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v>1927400</v>
      </c>
      <c r="H6" s="35">
        <f>306400+747400+40500</f>
        <v>1094300</v>
      </c>
      <c r="I6" s="112"/>
    </row>
    <row r="7" spans="1:9" s="10" customFormat="1" ht="27" customHeight="1">
      <c r="A7" s="126"/>
      <c r="B7" s="10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v>7538300</v>
      </c>
      <c r="H7" s="35">
        <f>2323004+299750.74+1636996.76+62220+3350-1094300</f>
        <v>3231021.5</v>
      </c>
      <c r="I7" s="113"/>
    </row>
    <row r="8" spans="1:9" s="10" customFormat="1" ht="27.75" customHeight="1">
      <c r="A8" s="124">
        <v>2</v>
      </c>
      <c r="B8" s="103" t="s">
        <v>6</v>
      </c>
      <c r="C8" s="104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947336100</v>
      </c>
      <c r="H8" s="51">
        <f t="shared" si="1"/>
        <v>460322019.81000006</v>
      </c>
      <c r="I8" s="111" t="s">
        <v>61</v>
      </c>
    </row>
    <row r="9" spans="1:9" s="10" customFormat="1" ht="28.5" customHeight="1">
      <c r="A9" s="125"/>
      <c r="B9" s="10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21057400+6148700+64196800+18745300+447726300+130736300</f>
        <v>688610800</v>
      </c>
      <c r="H9" s="55">
        <f>30277729+8403064+218465227+62841700+10120253.56+3032505.92</f>
        <v>333140479.48000002</v>
      </c>
      <c r="I9" s="112"/>
    </row>
    <row r="10" spans="1:9" s="10" customFormat="1" ht="27.75" customHeight="1">
      <c r="A10" s="125"/>
      <c r="B10" s="10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210200+268400+20500+7196200+5100+3338200+2891000+36526500+1972100+42720200+13786200+1193000</f>
        <v>110127600</v>
      </c>
      <c r="H10" s="55">
        <f>65200+133400+10500+2830460+3350+1741996+2340585+14590900+999400+21098772.65+10948400+158500</f>
        <v>54921463.649999999</v>
      </c>
      <c r="I10" s="112"/>
    </row>
    <row r="11" spans="1:9" s="10" customFormat="1" ht="27.75" customHeight="1">
      <c r="A11" s="125"/>
      <c r="B11" s="109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11896800+4070200+75671300</f>
        <v>91638300</v>
      </c>
      <c r="H11" s="55">
        <f>6947504+1700200+47518445</f>
        <v>56166149</v>
      </c>
      <c r="I11" s="112"/>
    </row>
    <row r="12" spans="1:9" s="10" customFormat="1" ht="25.5" customHeight="1">
      <c r="A12" s="125"/>
      <c r="B12" s="109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55">
        <f>434795+4341900</f>
        <v>4776695</v>
      </c>
      <c r="I12" s="112"/>
    </row>
    <row r="13" spans="1:9" s="10" customFormat="1" ht="25.5" customHeight="1">
      <c r="A13" s="126"/>
      <c r="B13" s="11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1994400+291000+2942100+15955500+2452000+22345200+300000+7000+3800+6200+120000+8000+750000+1000+690000+400200+1000+100000+600000</f>
        <v>48967400</v>
      </c>
      <c r="H13" s="35">
        <f>22265+1049532.98+57943417+388031638.35+300+121351+756-H10-H11-H12-H9+10120253.56+3032505.92</f>
        <v>11317232.680000048</v>
      </c>
      <c r="I13" s="113"/>
    </row>
    <row r="14" spans="1:9" s="10" customFormat="1">
      <c r="A14" s="124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70238900</v>
      </c>
      <c r="H14" s="51">
        <f>H15+H16+H17+H18+H19</f>
        <v>33180895.629999999</v>
      </c>
      <c r="I14" s="136" t="s">
        <v>62</v>
      </c>
    </row>
    <row r="15" spans="1:9" s="10" customFormat="1" ht="18.75" customHeight="1">
      <c r="A15" s="125"/>
      <c r="B15" s="11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40020000+11685800</f>
        <v>51705800</v>
      </c>
      <c r="H15" s="35">
        <f>20689479.59+6173623.5</f>
        <v>26863103.09</v>
      </c>
      <c r="I15" s="137"/>
    </row>
    <row r="16" spans="1:9" s="10" customFormat="1" ht="25.5" customHeight="1">
      <c r="A16" s="125"/>
      <c r="B16" s="112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2805000+1550000+170000</f>
        <v>4525000</v>
      </c>
      <c r="H16" s="35">
        <f>1100600+847000+85000</f>
        <v>2032600</v>
      </c>
      <c r="I16" s="137"/>
    </row>
    <row r="17" spans="1:10" s="10" customFormat="1" ht="22.5" customHeight="1">
      <c r="A17" s="125"/>
      <c r="B17" s="11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v>13508100</v>
      </c>
      <c r="H17" s="35">
        <f>20230+6236443.09+34007.03+7571+19541.42-H16</f>
        <v>4285192.54</v>
      </c>
      <c r="I17" s="137"/>
    </row>
    <row r="18" spans="1:10" s="10" customFormat="1" ht="61.5" customHeight="1">
      <c r="A18" s="125"/>
      <c r="B18" s="112"/>
      <c r="C18" s="37" t="s">
        <v>15</v>
      </c>
      <c r="D18" s="12">
        <v>500000</v>
      </c>
      <c r="E18" s="12">
        <v>500000</v>
      </c>
      <c r="F18" s="35">
        <v>500000</v>
      </c>
      <c r="G18" s="35">
        <v>500000</v>
      </c>
      <c r="H18" s="35">
        <v>0</v>
      </c>
      <c r="I18" s="137"/>
    </row>
    <row r="19" spans="1:10" s="10" customFormat="1" ht="52.5" customHeight="1">
      <c r="A19" s="126"/>
      <c r="B19" s="11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8"/>
    </row>
    <row r="20" spans="1:10" s="17" customFormat="1">
      <c r="A20" s="30">
        <v>4</v>
      </c>
      <c r="B20" s="120" t="s">
        <v>45</v>
      </c>
      <c r="C20" s="121"/>
      <c r="D20" s="9">
        <f>D22+D23+D24+D25+D26+D27+D35+D36+D40+D41+D42+D43+D44+D45+D46+D47+D48+D49+D28+D29+D30+D31+D32+D33+D34</f>
        <v>1459717911.8</v>
      </c>
      <c r="E20" s="9">
        <f t="shared" ref="E20:H20" si="5">E22+E23+E24+E25+E26+E27+E35+E36+E40+E41+E42+E43+E44+E45+E46+E47+E48+E49+E28+E29+E30+E31+E32+E33+E34</f>
        <v>1373880572.27</v>
      </c>
      <c r="F20" s="51">
        <f t="shared" si="5"/>
        <v>1117233800</v>
      </c>
      <c r="G20" s="51">
        <f t="shared" si="5"/>
        <v>1280042240</v>
      </c>
      <c r="H20" s="51">
        <f t="shared" si="5"/>
        <v>633816681.1400001</v>
      </c>
      <c r="I20" s="49"/>
    </row>
    <row r="21" spans="1:10" s="17" customFormat="1">
      <c r="A21" s="33"/>
      <c r="B21" s="122" t="s">
        <v>12</v>
      </c>
      <c r="C21" s="12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8" t="s">
        <v>63</v>
      </c>
      <c r="C22" s="119"/>
      <c r="D22" s="14">
        <v>255000</v>
      </c>
      <c r="E22" s="14">
        <v>255000</v>
      </c>
      <c r="F22" s="43">
        <v>0</v>
      </c>
      <c r="G22" s="43">
        <v>0</v>
      </c>
      <c r="H22" s="43">
        <v>0</v>
      </c>
      <c r="I22" s="49" t="s">
        <v>64</v>
      </c>
    </row>
    <row r="23" spans="1:10" s="17" customFormat="1" ht="102.75" customHeight="1">
      <c r="A23" s="33"/>
      <c r="B23" s="116" t="s">
        <v>87</v>
      </c>
      <c r="C23" s="117"/>
      <c r="D23" s="43">
        <v>95500</v>
      </c>
      <c r="E23" s="14">
        <v>95500</v>
      </c>
      <c r="F23" s="43">
        <v>0</v>
      </c>
      <c r="G23" s="43">
        <v>95000</v>
      </c>
      <c r="H23" s="43">
        <v>63000</v>
      </c>
      <c r="I23" s="49" t="s">
        <v>66</v>
      </c>
    </row>
    <row r="24" spans="1:10" s="17" customFormat="1" ht="61.5" customHeight="1">
      <c r="A24" s="33"/>
      <c r="B24" s="116" t="s">
        <v>88</v>
      </c>
      <c r="C24" s="117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v>2274000</v>
      </c>
      <c r="H24" s="43">
        <f>689000+113500+28000+437000+71750</f>
        <v>1339250</v>
      </c>
      <c r="I24" s="49"/>
    </row>
    <row r="25" spans="1:10" s="17" customFormat="1" ht="64.5" customHeight="1">
      <c r="A25" s="33"/>
      <c r="B25" s="99" t="s">
        <v>42</v>
      </c>
      <c r="C25" s="10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f>50000+469100+9960500+6471100+800+160300+50000+320000+690000+712200+750000+15000+373000+165477600+15837700</f>
        <v>201337300</v>
      </c>
      <c r="H25" s="43">
        <f>1800+15944.9+16950.46+3783855.71+994485.9+320.4+64080+218070+116500+118884+61390.4+4768217.88+70499910.42+332195.24+704871.1</f>
        <v>81697476.409999996</v>
      </c>
      <c r="I25" s="11" t="s">
        <v>113</v>
      </c>
      <c r="J25" s="20"/>
    </row>
    <row r="26" spans="1:10" s="17" customFormat="1" ht="109.5" customHeight="1">
      <c r="A26" s="33"/>
      <c r="B26" s="99" t="s">
        <v>89</v>
      </c>
      <c r="C26" s="100"/>
      <c r="D26" s="28">
        <v>4637300</v>
      </c>
      <c r="E26" s="28">
        <f>4029000+608300</f>
        <v>4637300</v>
      </c>
      <c r="F26" s="43">
        <v>755500</v>
      </c>
      <c r="G26" s="43">
        <v>2664300</v>
      </c>
      <c r="H26" s="43">
        <v>1333076.8999999999</v>
      </c>
      <c r="I26" s="11" t="s">
        <v>114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590000+400000+366000</f>
        <v>1356000</v>
      </c>
      <c r="G27" s="53">
        <f>473700+400000+366000</f>
        <v>1239700</v>
      </c>
      <c r="H27" s="53">
        <f>13044+89472</f>
        <v>102516</v>
      </c>
      <c r="I27" s="13"/>
    </row>
    <row r="28" spans="1:10" s="10" customFormat="1" ht="65.25" customHeight="1">
      <c r="A28" s="46"/>
      <c r="B28" s="124" t="s">
        <v>44</v>
      </c>
      <c r="C28" s="11" t="s">
        <v>25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v>96138000</v>
      </c>
      <c r="H28" s="35">
        <f>1705.1+46234567.94</f>
        <v>46236273.039999999</v>
      </c>
      <c r="I28" s="13"/>
    </row>
    <row r="29" spans="1:10" s="10" customFormat="1" ht="42" customHeight="1">
      <c r="A29" s="47"/>
      <c r="B29" s="125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35">
        <v>17907.11</v>
      </c>
      <c r="I29" s="11" t="s">
        <v>115</v>
      </c>
    </row>
    <row r="30" spans="1:10" s="10" customFormat="1" ht="42" customHeight="1">
      <c r="A30" s="47"/>
      <c r="B30" s="125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35">
        <v>756576</v>
      </c>
      <c r="I30" s="13"/>
    </row>
    <row r="31" spans="1:10" s="10" customFormat="1" ht="104.25" customHeight="1">
      <c r="A31" s="47"/>
      <c r="B31" s="125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35">
        <f>4058.51+2336942.57</f>
        <v>2341001.0799999996</v>
      </c>
      <c r="I31" s="11" t="s">
        <v>93</v>
      </c>
    </row>
    <row r="32" spans="1:10" s="10" customFormat="1" ht="62.25" customHeight="1">
      <c r="A32" s="47"/>
      <c r="B32" s="125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12895700</v>
      </c>
      <c r="H32" s="35">
        <f>3346.95+6396579.96</f>
        <v>6399926.9100000001</v>
      </c>
      <c r="I32" s="11" t="s">
        <v>116</v>
      </c>
    </row>
    <row r="33" spans="1:9" s="10" customFormat="1" ht="60.75" customHeight="1">
      <c r="A33" s="47"/>
      <c r="B33" s="125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36">
        <v>4873416.07</v>
      </c>
      <c r="I33" s="11" t="s">
        <v>117</v>
      </c>
    </row>
    <row r="34" spans="1:9" s="10" customFormat="1" ht="56.25">
      <c r="A34" s="48"/>
      <c r="B34" s="126"/>
      <c r="C34" s="23" t="s">
        <v>29</v>
      </c>
      <c r="D34" s="24">
        <v>39812000</v>
      </c>
      <c r="E34" s="36">
        <v>38602489.630000003</v>
      </c>
      <c r="F34" s="36">
        <v>41323100</v>
      </c>
      <c r="G34" s="36">
        <v>41323100</v>
      </c>
      <c r="H34" s="36">
        <v>40828484.259999998</v>
      </c>
      <c r="I34" s="11" t="s">
        <v>118</v>
      </c>
    </row>
    <row r="35" spans="1:9" s="10" customFormat="1" ht="114.75" customHeight="1">
      <c r="A35" s="32"/>
      <c r="B35" s="99" t="s">
        <v>97</v>
      </c>
      <c r="C35" s="100"/>
      <c r="D35" s="28">
        <v>2912300</v>
      </c>
      <c r="E35" s="28">
        <v>2899022.56</v>
      </c>
      <c r="F35" s="43">
        <v>2811000</v>
      </c>
      <c r="G35" s="43">
        <v>5096000</v>
      </c>
      <c r="H35" s="43">
        <f>205800+760370+842000+397000+99300+311700+23260.32</f>
        <v>2639430.3199999998</v>
      </c>
      <c r="I35" s="56" t="s">
        <v>119</v>
      </c>
    </row>
    <row r="36" spans="1:9" s="10" customFormat="1" ht="86.25" customHeight="1">
      <c r="A36" s="124"/>
      <c r="B36" s="114" t="s">
        <v>98</v>
      </c>
      <c r="C36" s="115"/>
      <c r="D36" s="28">
        <f>13004200+D37+D39</f>
        <v>321082200</v>
      </c>
      <c r="E36" s="28">
        <f>E37+E39+12824804.28</f>
        <v>240324804.28</v>
      </c>
      <c r="F36" s="28">
        <f>F37+F39+10184800</f>
        <v>132661800</v>
      </c>
      <c r="G36" s="28">
        <f>G37+G39+10184800</f>
        <v>132661800</v>
      </c>
      <c r="H36" s="28">
        <f>H37+H39+1716.11+94520+1697520+514200+1923100+135000</f>
        <v>48688641.160000004</v>
      </c>
      <c r="I36" s="11" t="s">
        <v>100</v>
      </c>
    </row>
    <row r="37" spans="1:9" s="10" customFormat="1" ht="30" customHeight="1">
      <c r="A37" s="125"/>
      <c r="B37" s="127" t="s">
        <v>12</v>
      </c>
      <c r="C37" s="111" t="s">
        <v>55</v>
      </c>
      <c r="D37" s="142">
        <v>5000000</v>
      </c>
      <c r="E37" s="142">
        <v>5000000</v>
      </c>
      <c r="F37" s="150">
        <v>10000000</v>
      </c>
      <c r="G37" s="150">
        <v>10000000</v>
      </c>
      <c r="H37" s="150">
        <v>100000</v>
      </c>
      <c r="I37" s="111"/>
    </row>
    <row r="38" spans="1:9" s="10" customFormat="1" ht="33" customHeight="1">
      <c r="A38" s="125"/>
      <c r="B38" s="128"/>
      <c r="C38" s="113"/>
      <c r="D38" s="143"/>
      <c r="E38" s="143"/>
      <c r="F38" s="151"/>
      <c r="G38" s="151"/>
      <c r="H38" s="151"/>
      <c r="I38" s="113"/>
    </row>
    <row r="39" spans="1:9" s="10" customFormat="1" ht="37.5">
      <c r="A39" s="126"/>
      <c r="B39" s="129"/>
      <c r="C39" s="11" t="s">
        <v>23</v>
      </c>
      <c r="D39" s="12">
        <f>60500000+242578000</f>
        <v>303078000</v>
      </c>
      <c r="E39" s="12">
        <f t="shared" ref="E39" si="6">60500000+162000000</f>
        <v>222500000</v>
      </c>
      <c r="F39" s="35">
        <v>112477000</v>
      </c>
      <c r="G39" s="35">
        <v>112477000</v>
      </c>
      <c r="H39" s="35">
        <f>194367.99+44028217.06</f>
        <v>44222585.050000004</v>
      </c>
      <c r="I39" s="11" t="s">
        <v>101</v>
      </c>
    </row>
    <row r="40" spans="1:9" s="10" customFormat="1" ht="86.25" customHeight="1">
      <c r="A40" s="124"/>
      <c r="B40" s="99" t="s">
        <v>41</v>
      </c>
      <c r="C40" s="100"/>
      <c r="D40" s="28">
        <f>2120000+160000+117000+72000</f>
        <v>2469000</v>
      </c>
      <c r="E40" s="28">
        <f t="shared" ref="E40" si="7">2120000+160000+117000+72000</f>
        <v>2469000</v>
      </c>
      <c r="F40" s="43">
        <f>150000+80000+62000</f>
        <v>292000</v>
      </c>
      <c r="G40" s="43">
        <f>155000+75000+62000</f>
        <v>292000</v>
      </c>
      <c r="H40" s="43">
        <f>110000+75000+10000</f>
        <v>195000</v>
      </c>
      <c r="I40" s="11"/>
    </row>
    <row r="41" spans="1:9" s="10" customFormat="1" ht="42.75" customHeight="1">
      <c r="A41" s="125"/>
      <c r="B41" s="124" t="s">
        <v>44</v>
      </c>
      <c r="C41" s="11" t="s">
        <v>26</v>
      </c>
      <c r="D41" s="12">
        <v>100375000</v>
      </c>
      <c r="E41" s="12">
        <v>100375000</v>
      </c>
      <c r="F41" s="35">
        <v>105000000</v>
      </c>
      <c r="G41" s="35">
        <v>105000000</v>
      </c>
      <c r="H41" s="35">
        <f>62134114.2+10010</f>
        <v>62144124.200000003</v>
      </c>
      <c r="I41" s="13"/>
    </row>
    <row r="42" spans="1:9" s="10" customFormat="1" ht="37.5">
      <c r="A42" s="125"/>
      <c r="B42" s="125"/>
      <c r="C42" s="11" t="s">
        <v>8</v>
      </c>
      <c r="D42" s="12">
        <v>15000</v>
      </c>
      <c r="E42" s="12">
        <v>0</v>
      </c>
      <c r="F42" s="35">
        <v>30000</v>
      </c>
      <c r="G42" s="35">
        <v>30000</v>
      </c>
      <c r="H42" s="35">
        <v>0</v>
      </c>
      <c r="I42" s="13"/>
    </row>
    <row r="43" spans="1:9" s="10" customFormat="1" ht="37.5">
      <c r="A43" s="125"/>
      <c r="B43" s="125"/>
      <c r="C43" s="11" t="s">
        <v>9</v>
      </c>
      <c r="D43" s="12">
        <v>600000</v>
      </c>
      <c r="E43" s="12">
        <v>600000</v>
      </c>
      <c r="F43" s="35">
        <v>600000</v>
      </c>
      <c r="G43" s="35">
        <v>600000</v>
      </c>
      <c r="H43" s="35">
        <v>0</v>
      </c>
      <c r="I43" s="13"/>
    </row>
    <row r="44" spans="1:9" s="10" customFormat="1" ht="56.25">
      <c r="A44" s="125"/>
      <c r="B44" s="125"/>
      <c r="C44" s="23" t="s">
        <v>20</v>
      </c>
      <c r="D44" s="12">
        <f>221495400+183735800</f>
        <v>405231200</v>
      </c>
      <c r="E44" s="12">
        <f t="shared" ref="E44" si="8">221495400+183735800</f>
        <v>405231200</v>
      </c>
      <c r="F44" s="35">
        <v>266028200</v>
      </c>
      <c r="G44" s="35">
        <v>420993200</v>
      </c>
      <c r="H44" s="35">
        <v>218476897.08000001</v>
      </c>
      <c r="I44" s="11" t="s">
        <v>120</v>
      </c>
    </row>
    <row r="45" spans="1:9" s="10" customFormat="1" ht="56.25">
      <c r="A45" s="125"/>
      <c r="B45" s="125"/>
      <c r="C45" s="22" t="s">
        <v>10</v>
      </c>
      <c r="D45" s="12">
        <f>44300+1000</f>
        <v>45300</v>
      </c>
      <c r="E45" s="12">
        <v>0</v>
      </c>
      <c r="F45" s="35">
        <v>58600</v>
      </c>
      <c r="G45" s="35">
        <v>58600</v>
      </c>
      <c r="H45" s="35">
        <v>0</v>
      </c>
      <c r="I45" s="11" t="s">
        <v>121</v>
      </c>
    </row>
    <row r="46" spans="1:9" s="10" customFormat="1" ht="46.5" customHeight="1">
      <c r="A46" s="125"/>
      <c r="B46" s="125"/>
      <c r="C46" s="22" t="s">
        <v>56</v>
      </c>
      <c r="D46" s="12">
        <f>38313700+13169600</f>
        <v>51483300</v>
      </c>
      <c r="E46" s="12">
        <f t="shared" ref="E46" si="9">38313700+13169600</f>
        <v>51483300</v>
      </c>
      <c r="F46" s="35">
        <v>38313700</v>
      </c>
      <c r="G46" s="35">
        <v>38313700</v>
      </c>
      <c r="H46" s="35">
        <v>15000000</v>
      </c>
      <c r="I46" s="11"/>
    </row>
    <row r="47" spans="1:9" s="10" customFormat="1" ht="93.75">
      <c r="A47" s="125"/>
      <c r="B47" s="125"/>
      <c r="C47" s="34" t="s">
        <v>34</v>
      </c>
      <c r="D47" s="13">
        <v>38100</v>
      </c>
      <c r="E47" s="36">
        <v>12855.37</v>
      </c>
      <c r="F47" s="36">
        <v>39700</v>
      </c>
      <c r="G47" s="36">
        <v>39700</v>
      </c>
      <c r="H47" s="36">
        <v>0</v>
      </c>
      <c r="I47" s="11" t="s">
        <v>124</v>
      </c>
    </row>
    <row r="48" spans="1:9" s="10" customFormat="1" ht="112.5">
      <c r="A48" s="125"/>
      <c r="B48" s="125"/>
      <c r="C48" s="34" t="s">
        <v>35</v>
      </c>
      <c r="D48" s="24">
        <v>4036300</v>
      </c>
      <c r="E48" s="36">
        <v>3469266.14</v>
      </c>
      <c r="F48" s="36">
        <v>4277800</v>
      </c>
      <c r="G48" s="36">
        <v>4277800</v>
      </c>
      <c r="H48" s="36">
        <v>2062275.12</v>
      </c>
      <c r="I48" s="11" t="s">
        <v>122</v>
      </c>
    </row>
    <row r="49" spans="1:9" s="10" customFormat="1" ht="131.25">
      <c r="A49" s="126"/>
      <c r="B49" s="126"/>
      <c r="C49" s="34" t="s">
        <v>36</v>
      </c>
      <c r="D49" s="24">
        <v>188484500</v>
      </c>
      <c r="E49" s="36">
        <v>188484500</v>
      </c>
      <c r="F49" s="36">
        <v>190679700</v>
      </c>
      <c r="G49" s="36">
        <v>190679700</v>
      </c>
      <c r="H49" s="36">
        <v>98621409.480000004</v>
      </c>
      <c r="I49" s="11" t="s">
        <v>123</v>
      </c>
    </row>
    <row r="50" spans="1:9" s="10" customFormat="1" hidden="1">
      <c r="A50" s="30">
        <v>5</v>
      </c>
      <c r="B50" s="30"/>
      <c r="C50" s="16" t="s">
        <v>1</v>
      </c>
      <c r="D50" s="9">
        <f>D51+D52+D54+D53</f>
        <v>0</v>
      </c>
      <c r="E50" s="9"/>
      <c r="F50" s="51"/>
      <c r="G50" s="51"/>
      <c r="H50" s="51"/>
      <c r="I50" s="13"/>
    </row>
    <row r="51" spans="1:9" s="26" customFormat="1" ht="37.5" hidden="1">
      <c r="A51" s="33"/>
      <c r="B51" s="33"/>
      <c r="C51" s="25" t="s">
        <v>2</v>
      </c>
      <c r="D51" s="19"/>
      <c r="E51" s="19"/>
      <c r="F51" s="52"/>
      <c r="G51" s="52"/>
      <c r="H51" s="52"/>
      <c r="I51" s="18"/>
    </row>
    <row r="52" spans="1:9" s="26" customFormat="1" ht="33.6" hidden="1" customHeight="1">
      <c r="A52" s="33"/>
      <c r="B52" s="33"/>
      <c r="C52" s="25" t="s">
        <v>3</v>
      </c>
      <c r="D52" s="19"/>
      <c r="E52" s="19"/>
      <c r="F52" s="52"/>
      <c r="G52" s="52"/>
      <c r="H52" s="52"/>
      <c r="I52" s="18"/>
    </row>
    <row r="53" spans="1:9" s="10" customFormat="1" ht="33.6" hidden="1" customHeight="1">
      <c r="A53" s="32"/>
      <c r="B53" s="32"/>
      <c r="C53" s="27"/>
      <c r="D53" s="12"/>
      <c r="E53" s="12"/>
      <c r="F53" s="35"/>
      <c r="G53" s="35"/>
      <c r="H53" s="35"/>
      <c r="I53" s="13"/>
    </row>
    <row r="54" spans="1:9" s="10" customFormat="1" ht="32.450000000000003" hidden="1" customHeight="1">
      <c r="A54" s="32"/>
      <c r="B54" s="32"/>
      <c r="C54" s="27"/>
      <c r="D54" s="12"/>
      <c r="E54" s="28"/>
      <c r="F54" s="43"/>
      <c r="G54" s="43"/>
      <c r="H54" s="43"/>
      <c r="I54" s="13"/>
    </row>
    <row r="55" spans="1:9" s="10" customFormat="1" ht="38.25" customHeight="1">
      <c r="A55" s="145">
        <v>5</v>
      </c>
      <c r="B55" s="101" t="s">
        <v>57</v>
      </c>
      <c r="C55" s="102"/>
      <c r="D55" s="9">
        <f>D56+D57+D58</f>
        <v>3883000</v>
      </c>
      <c r="E55" s="9">
        <f>E56+E57+E58</f>
        <v>3806592.5</v>
      </c>
      <c r="F55" s="51">
        <f>F56+F57+F58</f>
        <v>675835100</v>
      </c>
      <c r="G55" s="51">
        <f>G56+G57+G58</f>
        <v>675835100</v>
      </c>
      <c r="H55" s="51">
        <f>H56+H57+H58</f>
        <v>247614200</v>
      </c>
      <c r="I55" s="139"/>
    </row>
    <row r="56" spans="1:9" s="10" customFormat="1" ht="52.15" customHeight="1">
      <c r="A56" s="146"/>
      <c r="B56" s="127" t="s">
        <v>12</v>
      </c>
      <c r="C56" s="23" t="s">
        <v>32</v>
      </c>
      <c r="D56" s="12">
        <v>2881300</v>
      </c>
      <c r="E56" s="36">
        <v>2805176.5</v>
      </c>
      <c r="F56" s="36">
        <v>1796600</v>
      </c>
      <c r="G56" s="36">
        <v>1796600</v>
      </c>
      <c r="H56" s="36">
        <v>575000</v>
      </c>
      <c r="I56" s="140"/>
    </row>
    <row r="57" spans="1:9" s="10" customFormat="1" ht="100.5" customHeight="1">
      <c r="A57" s="147"/>
      <c r="B57" s="129"/>
      <c r="C57" s="15" t="s">
        <v>33</v>
      </c>
      <c r="D57" s="24">
        <v>1001700</v>
      </c>
      <c r="E57" s="36">
        <v>1001416</v>
      </c>
      <c r="F57" s="36">
        <v>0</v>
      </c>
      <c r="G57" s="36">
        <v>0</v>
      </c>
      <c r="H57" s="36">
        <v>0</v>
      </c>
      <c r="I57" s="141"/>
    </row>
    <row r="58" spans="1:9" s="10" customFormat="1" ht="60.75" customHeight="1">
      <c r="A58" s="47"/>
      <c r="B58" s="57"/>
      <c r="C58" s="23" t="s">
        <v>109</v>
      </c>
      <c r="D58" s="36">
        <v>0</v>
      </c>
      <c r="E58" s="36">
        <v>0</v>
      </c>
      <c r="F58" s="36">
        <v>674038500</v>
      </c>
      <c r="G58" s="36">
        <v>674038500</v>
      </c>
      <c r="H58" s="36">
        <v>247039200</v>
      </c>
      <c r="I58" s="11" t="s">
        <v>125</v>
      </c>
    </row>
    <row r="59" spans="1:9" s="10" customFormat="1" ht="66.75" customHeight="1">
      <c r="A59" s="38">
        <v>6</v>
      </c>
      <c r="B59" s="101" t="s">
        <v>22</v>
      </c>
      <c r="C59" s="102"/>
      <c r="D59" s="9">
        <v>33309103</v>
      </c>
      <c r="E59" s="9">
        <v>33309102.949999999</v>
      </c>
      <c r="F59" s="51">
        <v>42640000</v>
      </c>
      <c r="G59" s="51">
        <v>42640000</v>
      </c>
      <c r="H59" s="51">
        <v>20917903.920000002</v>
      </c>
      <c r="I59" s="13"/>
    </row>
    <row r="60" spans="1:9" s="10" customFormat="1" ht="144" customHeight="1">
      <c r="A60" s="39">
        <v>7</v>
      </c>
      <c r="B60" s="148" t="s">
        <v>43</v>
      </c>
      <c r="C60" s="148"/>
      <c r="D60" s="40">
        <v>3152500</v>
      </c>
      <c r="E60" s="40">
        <v>3130229.34</v>
      </c>
      <c r="F60" s="54">
        <v>3349200</v>
      </c>
      <c r="G60" s="54">
        <v>3349200</v>
      </c>
      <c r="H60" s="54">
        <v>1381316.53</v>
      </c>
      <c r="I60" s="13"/>
    </row>
    <row r="61" spans="1:9" s="10" customFormat="1" ht="68.25" customHeight="1">
      <c r="A61" s="39">
        <v>8</v>
      </c>
      <c r="B61" s="149" t="s">
        <v>102</v>
      </c>
      <c r="C61" s="149"/>
      <c r="D61" s="41">
        <v>2633900</v>
      </c>
      <c r="E61" s="41">
        <v>1740839.97</v>
      </c>
      <c r="F61" s="54">
        <v>0</v>
      </c>
      <c r="G61" s="54">
        <v>0</v>
      </c>
      <c r="H61" s="54">
        <v>0</v>
      </c>
      <c r="I61" s="11"/>
    </row>
    <row r="62" spans="1:9" s="10" customFormat="1" ht="60" customHeight="1">
      <c r="A62" s="39">
        <v>9</v>
      </c>
      <c r="B62" s="144" t="s">
        <v>127</v>
      </c>
      <c r="C62" s="144"/>
      <c r="D62" s="41">
        <v>100000</v>
      </c>
      <c r="E62" s="41">
        <v>100000</v>
      </c>
      <c r="F62" s="54">
        <v>0</v>
      </c>
      <c r="G62" s="54">
        <v>2300000</v>
      </c>
      <c r="H62" s="54">
        <v>2300000</v>
      </c>
      <c r="I62" s="11" t="s">
        <v>126</v>
      </c>
    </row>
    <row r="63" spans="1:9" s="10" customFormat="1" ht="39" customHeight="1">
      <c r="A63" s="31"/>
      <c r="B63" s="132" t="s">
        <v>58</v>
      </c>
      <c r="C63" s="133"/>
      <c r="D63" s="58">
        <f>D4+D8+D14+D20+D55+D59+D60+D61+D62</f>
        <v>2547532847.8000002</v>
      </c>
      <c r="E63" s="58">
        <f>E4+E8+E14+E20+E55+E59+E60+E61+E62</f>
        <v>2459178897.9599996</v>
      </c>
      <c r="F63" s="59">
        <f t="shared" ref="F63:H63" si="10">F4+F8+F14+F20+F55+F59+F60+F61+F62</f>
        <v>2892353600</v>
      </c>
      <c r="G63" s="59">
        <f t="shared" si="10"/>
        <v>3062677440</v>
      </c>
      <c r="H63" s="59">
        <f t="shared" si="10"/>
        <v>1419940377.5300002</v>
      </c>
      <c r="I63" s="13"/>
    </row>
    <row r="64" spans="1:9" s="10" customFormat="1">
      <c r="C64" s="29"/>
    </row>
    <row r="65" spans="3:3" s="10" customFormat="1"/>
    <row r="66" spans="3:3" s="10" customFormat="1"/>
    <row r="77" spans="3:3">
      <c r="C77" s="4"/>
    </row>
    <row r="79" spans="3:3">
      <c r="C79" s="4"/>
    </row>
    <row r="676" spans="5:8">
      <c r="E676" s="2"/>
      <c r="F676" s="2"/>
      <c r="G676" s="2"/>
      <c r="H676" s="2"/>
    </row>
  </sheetData>
  <mergeCells count="51"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B26:C26"/>
    <mergeCell ref="B27:C27"/>
    <mergeCell ref="B28:B34"/>
    <mergeCell ref="B35:C35"/>
    <mergeCell ref="A36:A39"/>
    <mergeCell ref="B36:C36"/>
    <mergeCell ref="B37:B39"/>
    <mergeCell ref="C37:C38"/>
    <mergeCell ref="I55:I57"/>
    <mergeCell ref="B56:B57"/>
    <mergeCell ref="D37:D38"/>
    <mergeCell ref="E37:E38"/>
    <mergeCell ref="F37:F38"/>
    <mergeCell ref="G37:G38"/>
    <mergeCell ref="H37:H38"/>
    <mergeCell ref="I37:I38"/>
    <mergeCell ref="A40:A49"/>
    <mergeCell ref="B40:C40"/>
    <mergeCell ref="B41:B49"/>
    <mergeCell ref="A55:A57"/>
    <mergeCell ref="B55:C55"/>
    <mergeCell ref="B59:C59"/>
    <mergeCell ref="B60:C60"/>
    <mergeCell ref="B61:C61"/>
    <mergeCell ref="B62:C62"/>
    <mergeCell ref="B63:C63"/>
  </mergeCells>
  <pageMargins left="0.15748031496062992" right="0.15748031496062992" top="0.19685039370078741" bottom="0.19685039370078741" header="0.15748031496062992" footer="0.1574803149606299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0"/>
  <sheetViews>
    <sheetView view="pageBreakPreview" zoomScale="60" zoomScaleNormal="60" workbookViewId="0">
      <selection activeCell="H7" sqref="H7"/>
    </sheetView>
  </sheetViews>
  <sheetFormatPr defaultColWidth="0" defaultRowHeight="18.75"/>
  <cols>
    <col min="1" max="1" width="2.57031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9" ht="27.4" customHeight="1">
      <c r="C1" s="5" t="s">
        <v>4</v>
      </c>
    </row>
    <row r="2" spans="1:9" s="6" customFormat="1" ht="139.5" customHeight="1">
      <c r="A2" s="130"/>
      <c r="B2" s="95" t="s">
        <v>0</v>
      </c>
      <c r="C2" s="96"/>
      <c r="D2" s="91" t="s">
        <v>14</v>
      </c>
      <c r="E2" s="93" t="s">
        <v>84</v>
      </c>
      <c r="F2" s="91" t="s">
        <v>197</v>
      </c>
      <c r="G2" s="91" t="s">
        <v>132</v>
      </c>
      <c r="H2" s="93" t="s">
        <v>133</v>
      </c>
      <c r="I2" s="134" t="s">
        <v>59</v>
      </c>
    </row>
    <row r="3" spans="1:9" s="6" customFormat="1" ht="8.25" customHeight="1">
      <c r="A3" s="131"/>
      <c r="B3" s="97"/>
      <c r="C3" s="98"/>
      <c r="D3" s="92"/>
      <c r="E3" s="94"/>
      <c r="F3" s="92"/>
      <c r="G3" s="92"/>
      <c r="H3" s="94"/>
      <c r="I3" s="135"/>
    </row>
    <row r="4" spans="1:9" s="10" customFormat="1" ht="43.5" customHeight="1">
      <c r="A4" s="124">
        <v>1</v>
      </c>
      <c r="B4" s="101" t="s">
        <v>7</v>
      </c>
      <c r="C4" s="102"/>
      <c r="D4" s="9">
        <f>D5+D6+D7</f>
        <v>40272408</v>
      </c>
      <c r="E4" s="9">
        <f t="shared" ref="E4:H4" si="0">E5+E6+E7</f>
        <v>40033747.399999999</v>
      </c>
      <c r="F4" s="51">
        <f t="shared" si="0"/>
        <v>40670000</v>
      </c>
      <c r="G4" s="51">
        <f t="shared" si="0"/>
        <v>40502200</v>
      </c>
      <c r="H4" s="51">
        <f t="shared" si="0"/>
        <v>40322770.849999994</v>
      </c>
      <c r="I4" s="111" t="s">
        <v>60</v>
      </c>
    </row>
    <row r="5" spans="1:9" s="10" customFormat="1" ht="26.25" customHeight="1">
      <c r="A5" s="125"/>
      <c r="B5" s="10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31204300</v>
      </c>
      <c r="G5" s="35">
        <f>25486100+7178000</f>
        <v>32664100</v>
      </c>
      <c r="H5" s="55">
        <f>25484657+7177913.63</f>
        <v>32662570.629999999</v>
      </c>
      <c r="I5" s="112"/>
    </row>
    <row r="6" spans="1:9" s="10" customFormat="1" ht="26.25" customHeight="1">
      <c r="A6" s="125"/>
      <c r="B6" s="106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1927400</v>
      </c>
      <c r="G6" s="35">
        <f>620000+907400+80000</f>
        <v>1607400</v>
      </c>
      <c r="H6" s="55">
        <f>620000+907400+80000</f>
        <v>1607400</v>
      </c>
      <c r="I6" s="112"/>
    </row>
    <row r="7" spans="1:9" s="10" customFormat="1" ht="27" customHeight="1">
      <c r="A7" s="126"/>
      <c r="B7" s="10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7538300</v>
      </c>
      <c r="G7" s="35">
        <f>2406000+58100+179100+147500+299800+670000+21800+434800+1032400+17800+50300+563700+129800+3400+216200</f>
        <v>6230700</v>
      </c>
      <c r="H7" s="55">
        <f>2790291.15+299750.74+4231069.69+119578.64+3350+216160-1607400</f>
        <v>6052800.2199999997</v>
      </c>
      <c r="I7" s="113"/>
    </row>
    <row r="8" spans="1:9" s="10" customFormat="1" ht="30" customHeight="1">
      <c r="A8" s="124">
        <v>2</v>
      </c>
      <c r="B8" s="103" t="s">
        <v>6</v>
      </c>
      <c r="C8" s="104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942386600</v>
      </c>
      <c r="G8" s="51">
        <f t="shared" si="1"/>
        <v>960889100</v>
      </c>
      <c r="H8" s="51">
        <f t="shared" si="1"/>
        <v>956083064.15999997</v>
      </c>
      <c r="I8" s="111" t="s">
        <v>193</v>
      </c>
    </row>
    <row r="9" spans="1:9" s="10" customFormat="1" ht="32.25" customHeight="1">
      <c r="A9" s="125"/>
      <c r="B9" s="10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f>21057400+6148700+63772200+18621300+444320000+129741700</f>
        <v>683661300</v>
      </c>
      <c r="G9" s="55">
        <f>22228200+6672300+67638900+20616800+454776759+135839363</f>
        <v>707772322</v>
      </c>
      <c r="H9" s="55">
        <f>G9-100-43.43-6901.96</f>
        <v>707765276.61000001</v>
      </c>
      <c r="I9" s="112"/>
    </row>
    <row r="10" spans="1:9" s="10" customFormat="1" ht="35.25" customHeight="1">
      <c r="A10" s="125"/>
      <c r="B10" s="10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f>210200+268400+20500+7196200+5100+3338200+2891000+36526500+1972100+42720200+13786200+1193000</f>
        <v>110127600</v>
      </c>
      <c r="G10" s="55">
        <f>291387+362462+32651+7796200+5100+3513800+2591000+41217995+1879488+41310619+9107136+1193000</f>
        <v>109300838</v>
      </c>
      <c r="H10" s="55">
        <f>7685020+5100+3416077+1861867+39212760.35+1814400+41139260+8010671+1177500+282909+361611+31635</f>
        <v>104998810.34999999</v>
      </c>
      <c r="I10" s="112"/>
    </row>
    <row r="11" spans="1:9" s="10" customFormat="1" ht="32.25" customHeight="1">
      <c r="A11" s="125"/>
      <c r="B11" s="109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f>11896800+4070200+75671300</f>
        <v>91638300</v>
      </c>
      <c r="G11" s="55">
        <f>130000+11628200+5135658+73547700</f>
        <v>90441558</v>
      </c>
      <c r="H11" s="55">
        <f>130000+11628200+5135658+73547700</f>
        <v>90441558</v>
      </c>
      <c r="I11" s="112"/>
    </row>
    <row r="12" spans="1:9" s="10" customFormat="1" ht="32.25" customHeight="1">
      <c r="A12" s="125"/>
      <c r="B12" s="109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7150520+777400</f>
        <v>7927920</v>
      </c>
      <c r="H12" s="55">
        <f>7150520+777400</f>
        <v>7927920</v>
      </c>
      <c r="I12" s="112"/>
    </row>
    <row r="13" spans="1:9" s="10" customFormat="1" ht="45" customHeight="1">
      <c r="A13" s="126"/>
      <c r="B13" s="11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f>1994400+291000+2942100+15955500+2452000+22345200+600+299400+7000+3800+6200+120000+8000+750000+1000+690000+400200+1000+100000+600000</f>
        <v>48967400</v>
      </c>
      <c r="G13" s="35">
        <f>5300+13600+34700+53300+835000+489995+1330227+40000+814578+2132800+750000+2294700+15552242+2463020+18376000+600+244400+10400+5600</f>
        <v>45446462</v>
      </c>
      <c r="H13" s="35">
        <f>956083064.16-H9-H10-H11-H12</f>
        <v>44949499.199999958</v>
      </c>
      <c r="I13" s="113"/>
    </row>
    <row r="14" spans="1:9" s="10" customFormat="1">
      <c r="A14" s="124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70238900</v>
      </c>
      <c r="G14" s="51">
        <f t="shared" si="4"/>
        <v>69052400</v>
      </c>
      <c r="H14" s="51">
        <f>H15+H16+H17+H18+H19</f>
        <v>68773968.200000003</v>
      </c>
      <c r="I14" s="136" t="s">
        <v>62</v>
      </c>
    </row>
    <row r="15" spans="1:9" s="10" customFormat="1" ht="18.75" customHeight="1">
      <c r="A15" s="125"/>
      <c r="B15" s="11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f>40020000+11685800</f>
        <v>51705800</v>
      </c>
      <c r="G15" s="35">
        <f>40020000+11865800</f>
        <v>51885800</v>
      </c>
      <c r="H15" s="55">
        <f>40020000+11859431.03</f>
        <v>51879431.030000001</v>
      </c>
      <c r="I15" s="137"/>
    </row>
    <row r="16" spans="1:9" s="10" customFormat="1" ht="25.5" customHeight="1">
      <c r="A16" s="125"/>
      <c r="B16" s="112"/>
      <c r="C16" s="11" t="s">
        <v>37</v>
      </c>
      <c r="D16" s="12">
        <f>2816100+1303800+140000</f>
        <v>4259900</v>
      </c>
      <c r="E16" s="12">
        <v>3601351.58</v>
      </c>
      <c r="F16" s="35">
        <f>2805000+1550000+170000</f>
        <v>4525000</v>
      </c>
      <c r="G16" s="35">
        <f>2705000-146000+1550000+170000</f>
        <v>4279000</v>
      </c>
      <c r="H16" s="55">
        <f>2536500+1481100+170000-146000-891.19</f>
        <v>4040708.81</v>
      </c>
      <c r="I16" s="137"/>
    </row>
    <row r="17" spans="1:10" s="10" customFormat="1" ht="22.5" customHeight="1">
      <c r="A17" s="125"/>
      <c r="B17" s="11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f>230000+3400000+2800000+1300000+3598100+1600000+450000+130000</f>
        <v>13508100</v>
      </c>
      <c r="G17" s="35">
        <f>146000+5100+61950+31930+66020+173800+2768600+230314+2839523+2330897+2744900+64566+1216800+111100+10000+78000+8100</f>
        <v>12887600</v>
      </c>
      <c r="H17" s="55">
        <v>12853828.359999999</v>
      </c>
      <c r="I17" s="137"/>
    </row>
    <row r="18" spans="1:10" s="10" customFormat="1" ht="61.5" customHeight="1">
      <c r="A18" s="125"/>
      <c r="B18" s="112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55">
        <v>0</v>
      </c>
      <c r="I18" s="137"/>
    </row>
    <row r="19" spans="1:10" s="10" customFormat="1" ht="52.5" hidden="1" customHeight="1">
      <c r="A19" s="126"/>
      <c r="B19" s="11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8"/>
    </row>
    <row r="20" spans="1:10" s="17" customFormat="1">
      <c r="A20" s="30">
        <v>4</v>
      </c>
      <c r="B20" s="120" t="s">
        <v>45</v>
      </c>
      <c r="C20" s="121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1793068900</v>
      </c>
      <c r="G20" s="51">
        <f t="shared" ref="G20:H20" si="5">G22+G23+G24+G25+G26+G27+G42+G53+G68</f>
        <v>2019340265.1199999</v>
      </c>
      <c r="H20" s="51">
        <f t="shared" si="5"/>
        <v>1903117728.73</v>
      </c>
      <c r="I20" s="49"/>
    </row>
    <row r="21" spans="1:10" s="17" customFormat="1">
      <c r="A21" s="33"/>
      <c r="B21" s="122" t="s">
        <v>12</v>
      </c>
      <c r="C21" s="12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8" t="s">
        <v>63</v>
      </c>
      <c r="C22" s="119"/>
      <c r="D22" s="14">
        <v>255000</v>
      </c>
      <c r="E22" s="14">
        <v>255000</v>
      </c>
      <c r="F22" s="43">
        <v>0</v>
      </c>
      <c r="G22" s="43">
        <v>172000</v>
      </c>
      <c r="H22" s="53">
        <v>172000</v>
      </c>
      <c r="I22" s="49" t="s">
        <v>64</v>
      </c>
    </row>
    <row r="23" spans="1:10" s="17" customFormat="1" ht="102.75" customHeight="1">
      <c r="A23" s="33"/>
      <c r="B23" s="116" t="s">
        <v>87</v>
      </c>
      <c r="C23" s="117"/>
      <c r="D23" s="43">
        <v>95500</v>
      </c>
      <c r="E23" s="14">
        <v>95500</v>
      </c>
      <c r="F23" s="43">
        <v>0</v>
      </c>
      <c r="G23" s="43">
        <v>95000</v>
      </c>
      <c r="H23" s="53">
        <v>95000</v>
      </c>
      <c r="I23" s="49" t="s">
        <v>66</v>
      </c>
    </row>
    <row r="24" spans="1:10" s="17" customFormat="1" ht="61.5" customHeight="1">
      <c r="A24" s="33"/>
      <c r="B24" s="116" t="s">
        <v>88</v>
      </c>
      <c r="C24" s="117"/>
      <c r="D24" s="14">
        <f>91500+70000+484000</f>
        <v>645500</v>
      </c>
      <c r="E24" s="14">
        <f>91500+20300+483896.7</f>
        <v>595696.69999999995</v>
      </c>
      <c r="F24" s="43">
        <v>2149000</v>
      </c>
      <c r="G24" s="43">
        <f>2179000+95000</f>
        <v>2274000</v>
      </c>
      <c r="H24" s="53">
        <f>958094.5+284000+138100+743591.24+71750</f>
        <v>2195535.7400000002</v>
      </c>
      <c r="I24" s="49"/>
    </row>
    <row r="25" spans="1:10" s="17" customFormat="1" ht="64.5" customHeight="1">
      <c r="A25" s="33"/>
      <c r="B25" s="99" t="s">
        <v>42</v>
      </c>
      <c r="C25" s="10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20566000+165477600+15837700</f>
        <v>201881300</v>
      </c>
      <c r="G25" s="43">
        <v>166918400</v>
      </c>
      <c r="H25" s="53">
        <f>15000+14740495.04+151231872.04+6000+150000</f>
        <v>166143367.07999998</v>
      </c>
      <c r="I25" s="11" t="s">
        <v>192</v>
      </c>
      <c r="J25" s="20"/>
    </row>
    <row r="26" spans="1:10" s="17" customFormat="1" ht="109.5" customHeight="1">
      <c r="A26" s="33"/>
      <c r="B26" s="99" t="s">
        <v>89</v>
      </c>
      <c r="C26" s="100"/>
      <c r="D26" s="28">
        <v>4637300</v>
      </c>
      <c r="E26" s="28">
        <f>4029000+608300</f>
        <v>4637300</v>
      </c>
      <c r="F26" s="43">
        <v>755500</v>
      </c>
      <c r="G26" s="43">
        <f>23238+29007.63+39563+49391.37+1199503.5+2042296.5+27750.87+47249.13</f>
        <v>3458000</v>
      </c>
      <c r="H26" s="53">
        <f>141200+3241800+75000</f>
        <v>3458000</v>
      </c>
      <c r="I26" s="11" t="s">
        <v>191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F28+F29+F30+F31+F32+F33+F34+F35+F36+F37+F39+F38+F40+F41</f>
        <v>845694000</v>
      </c>
      <c r="G27" s="53">
        <f t="shared" ref="G27:H27" si="6">G28+G29+G30+G31+G32+G33+G34+G35+G36+G37+G39+G38+G40+G41</f>
        <v>759385650</v>
      </c>
      <c r="H27" s="53">
        <f t="shared" si="6"/>
        <v>644233304.92000008</v>
      </c>
      <c r="I27" s="13"/>
    </row>
    <row r="28" spans="1:10" s="10" customFormat="1" ht="65.25" customHeight="1">
      <c r="A28" s="46"/>
      <c r="B28" s="124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35">
        <v>96138000</v>
      </c>
      <c r="G28" s="35">
        <f>4200+95083800</f>
        <v>95088000</v>
      </c>
      <c r="H28" s="55">
        <f>3810.21+95083800</f>
        <v>95087610.209999993</v>
      </c>
      <c r="I28" s="13"/>
    </row>
    <row r="29" spans="1:10" s="10" customFormat="1" ht="42" customHeight="1">
      <c r="A29" s="47"/>
      <c r="B29" s="125"/>
      <c r="C29" s="21" t="s">
        <v>31</v>
      </c>
      <c r="D29" s="12">
        <f>65500+1000</f>
        <v>66500</v>
      </c>
      <c r="E29" s="12">
        <f>30998.81</f>
        <v>30998.81</v>
      </c>
      <c r="F29" s="35">
        <v>154400</v>
      </c>
      <c r="G29" s="35">
        <v>154400</v>
      </c>
      <c r="H29" s="55">
        <v>36059.42</v>
      </c>
      <c r="I29" s="11" t="s">
        <v>136</v>
      </c>
    </row>
    <row r="30" spans="1:10" s="10" customFormat="1" ht="42" customHeight="1">
      <c r="A30" s="47"/>
      <c r="B30" s="125"/>
      <c r="C30" s="22" t="s">
        <v>11</v>
      </c>
      <c r="D30" s="12">
        <v>1943000</v>
      </c>
      <c r="E30" s="12">
        <v>1885583</v>
      </c>
      <c r="F30" s="35">
        <v>1943000</v>
      </c>
      <c r="G30" s="35">
        <v>1943000</v>
      </c>
      <c r="H30" s="55">
        <v>1919051</v>
      </c>
      <c r="I30" s="13"/>
    </row>
    <row r="31" spans="1:10" s="10" customFormat="1" ht="104.25" customHeight="1">
      <c r="A31" s="47"/>
      <c r="B31" s="125"/>
      <c r="C31" s="21" t="s">
        <v>21</v>
      </c>
      <c r="D31" s="12">
        <f>4530547.8+10000</f>
        <v>4540547.8</v>
      </c>
      <c r="E31" s="12">
        <f>2416482.69+4921.41</f>
        <v>2421404.1</v>
      </c>
      <c r="F31" s="35">
        <v>2425700</v>
      </c>
      <c r="G31" s="35">
        <v>6515640</v>
      </c>
      <c r="H31" s="55">
        <f>6787.13+4590252.93</f>
        <v>4597040.0599999996</v>
      </c>
      <c r="I31" s="11" t="s">
        <v>137</v>
      </c>
    </row>
    <row r="32" spans="1:10" s="10" customFormat="1" ht="62.25" customHeight="1">
      <c r="A32" s="47"/>
      <c r="B32" s="125"/>
      <c r="C32" s="15" t="s">
        <v>28</v>
      </c>
      <c r="D32" s="35">
        <v>12738000</v>
      </c>
      <c r="E32" s="13">
        <v>12738000</v>
      </c>
      <c r="F32" s="35">
        <v>12895700</v>
      </c>
      <c r="G32" s="35">
        <v>13295700</v>
      </c>
      <c r="H32" s="55">
        <f>6173.39+13289400</f>
        <v>13295573.390000001</v>
      </c>
      <c r="I32" s="11" t="s">
        <v>138</v>
      </c>
    </row>
    <row r="33" spans="1:9" s="10" customFormat="1" ht="60.75" customHeight="1">
      <c r="A33" s="47"/>
      <c r="B33" s="125"/>
      <c r="C33" s="23" t="s">
        <v>30</v>
      </c>
      <c r="D33" s="24">
        <v>9152800</v>
      </c>
      <c r="E33" s="36">
        <v>8702567.5</v>
      </c>
      <c r="F33" s="36">
        <v>15419600</v>
      </c>
      <c r="G33" s="36">
        <v>15419600</v>
      </c>
      <c r="H33" s="72">
        <v>9740197.2400000002</v>
      </c>
      <c r="I33" s="11" t="s">
        <v>141</v>
      </c>
    </row>
    <row r="34" spans="1:9" s="10" customFormat="1" ht="60.75" customHeight="1">
      <c r="A34" s="47"/>
      <c r="B34" s="125"/>
      <c r="C34" s="23" t="s">
        <v>129</v>
      </c>
      <c r="D34" s="24"/>
      <c r="E34" s="36"/>
      <c r="F34" s="36">
        <v>674038500</v>
      </c>
      <c r="G34" s="36">
        <v>584208500</v>
      </c>
      <c r="H34" s="72">
        <v>477019412.62</v>
      </c>
      <c r="I34" s="11" t="s">
        <v>142</v>
      </c>
    </row>
    <row r="35" spans="1:9" s="10" customFormat="1" ht="105.75" customHeight="1">
      <c r="A35" s="47"/>
      <c r="B35" s="125"/>
      <c r="C35" s="23" t="s">
        <v>130</v>
      </c>
      <c r="D35" s="24"/>
      <c r="E35" s="36"/>
      <c r="F35" s="36">
        <v>590000</v>
      </c>
      <c r="G35" s="36">
        <v>100000</v>
      </c>
      <c r="H35" s="72">
        <v>41660</v>
      </c>
      <c r="I35" s="11"/>
    </row>
    <row r="36" spans="1:9" s="10" customFormat="1" ht="73.5" customHeight="1">
      <c r="A36" s="47"/>
      <c r="B36" s="125"/>
      <c r="C36" s="23" t="s">
        <v>131</v>
      </c>
      <c r="D36" s="24"/>
      <c r="E36" s="36"/>
      <c r="F36" s="36">
        <v>0</v>
      </c>
      <c r="G36" s="36">
        <v>24610</v>
      </c>
      <c r="H36" s="72">
        <v>24610</v>
      </c>
      <c r="I36" s="11" t="s">
        <v>139</v>
      </c>
    </row>
    <row r="37" spans="1:9" s="10" customFormat="1" ht="105" customHeight="1">
      <c r="A37" s="47"/>
      <c r="B37" s="125"/>
      <c r="C37" s="23" t="s">
        <v>134</v>
      </c>
      <c r="D37" s="24"/>
      <c r="E37" s="36"/>
      <c r="F37" s="36">
        <v>0</v>
      </c>
      <c r="G37" s="36">
        <v>1115000</v>
      </c>
      <c r="H37" s="72">
        <v>1022516</v>
      </c>
      <c r="I37" s="11"/>
    </row>
    <row r="38" spans="1:9" s="10" customFormat="1" ht="105" customHeight="1">
      <c r="A38" s="47"/>
      <c r="B38" s="125"/>
      <c r="C38" s="23" t="s">
        <v>143</v>
      </c>
      <c r="D38" s="24"/>
      <c r="E38" s="36"/>
      <c r="F38" s="36">
        <v>300000</v>
      </c>
      <c r="G38" s="36">
        <v>198100</v>
      </c>
      <c r="H38" s="72">
        <v>179712</v>
      </c>
      <c r="I38" s="11"/>
    </row>
    <row r="39" spans="1:9" s="10" customFormat="1" ht="56.25">
      <c r="A39" s="48"/>
      <c r="B39" s="126"/>
      <c r="C39" s="23" t="s">
        <v>29</v>
      </c>
      <c r="D39" s="24">
        <v>39812000</v>
      </c>
      <c r="E39" s="36">
        <v>38602489.630000003</v>
      </c>
      <c r="F39" s="36">
        <v>41323100</v>
      </c>
      <c r="G39" s="36">
        <v>41323100</v>
      </c>
      <c r="H39" s="72">
        <v>41269862.979999997</v>
      </c>
      <c r="I39" s="11" t="s">
        <v>140</v>
      </c>
    </row>
    <row r="40" spans="1:9" s="10" customFormat="1" ht="93.75">
      <c r="A40" s="47"/>
      <c r="B40" s="78"/>
      <c r="C40" s="79" t="s">
        <v>195</v>
      </c>
      <c r="D40" s="24"/>
      <c r="E40" s="36"/>
      <c r="F40" s="36">
        <v>400000</v>
      </c>
      <c r="G40" s="36">
        <v>0</v>
      </c>
      <c r="H40" s="72">
        <v>0</v>
      </c>
      <c r="I40" s="11"/>
    </row>
    <row r="41" spans="1:9" s="10" customFormat="1" ht="112.5">
      <c r="A41" s="47"/>
      <c r="B41" s="78"/>
      <c r="C41" s="79" t="s">
        <v>196</v>
      </c>
      <c r="D41" s="24"/>
      <c r="E41" s="36"/>
      <c r="F41" s="36">
        <v>66000</v>
      </c>
      <c r="G41" s="36">
        <v>0</v>
      </c>
      <c r="H41" s="72">
        <v>0</v>
      </c>
      <c r="I41" s="11"/>
    </row>
    <row r="42" spans="1:9" s="10" customFormat="1" ht="114.75" customHeight="1">
      <c r="A42" s="152"/>
      <c r="B42" s="99" t="s">
        <v>97</v>
      </c>
      <c r="C42" s="100"/>
      <c r="D42" s="28">
        <v>2912300</v>
      </c>
      <c r="E42" s="28">
        <v>2899022.56</v>
      </c>
      <c r="F42" s="53">
        <f>F43+F44+F45+F46+F47+F48+F49+F50+F51+F52</f>
        <v>2811000</v>
      </c>
      <c r="G42" s="53">
        <f t="shared" ref="G42:H42" si="7">G43+G44+G45+G46+G47+G48+G49+G50+G51+G52</f>
        <v>5586100</v>
      </c>
      <c r="H42" s="53">
        <f t="shared" si="7"/>
        <v>5585419.6299999999</v>
      </c>
      <c r="I42" s="56"/>
    </row>
    <row r="43" spans="1:9" s="10" customFormat="1" ht="268.5" customHeight="1">
      <c r="A43" s="153"/>
      <c r="B43" s="127" t="s">
        <v>12</v>
      </c>
      <c r="C43" s="63" t="s">
        <v>146</v>
      </c>
      <c r="D43" s="28"/>
      <c r="E43" s="28"/>
      <c r="F43" s="43">
        <v>784000</v>
      </c>
      <c r="G43" s="43">
        <f>205800+1350500</f>
        <v>1556300</v>
      </c>
      <c r="H43" s="53">
        <f>205800+1350500</f>
        <v>1556300</v>
      </c>
      <c r="I43" s="56" t="s">
        <v>147</v>
      </c>
    </row>
    <row r="44" spans="1:9" s="10" customFormat="1" ht="283.5" customHeight="1">
      <c r="A44" s="153"/>
      <c r="B44" s="128"/>
      <c r="C44" s="63" t="s">
        <v>148</v>
      </c>
      <c r="D44" s="28"/>
      <c r="E44" s="28"/>
      <c r="F44" s="43">
        <v>0</v>
      </c>
      <c r="G44" s="43">
        <f>198360.52+195407.91+214133.86+96299.54+210946.46+94866.11</f>
        <v>1010014.4</v>
      </c>
      <c r="H44" s="53">
        <f>198360.52+195407.91+214133.86+96299.54+210946.46+94866.11</f>
        <v>1010014.4</v>
      </c>
      <c r="I44" s="56" t="s">
        <v>149</v>
      </c>
    </row>
    <row r="45" spans="1:9" s="10" customFormat="1" ht="54.75" customHeight="1">
      <c r="A45" s="153"/>
      <c r="B45" s="128"/>
      <c r="C45" s="11" t="s">
        <v>151</v>
      </c>
      <c r="D45" s="28"/>
      <c r="E45" s="28"/>
      <c r="F45" s="43">
        <v>0</v>
      </c>
      <c r="G45" s="43">
        <f>199988.42+197011.58</f>
        <v>397000</v>
      </c>
      <c r="H45" s="53">
        <f>199988.42+197011.58</f>
        <v>397000</v>
      </c>
      <c r="I45" s="56" t="s">
        <v>152</v>
      </c>
    </row>
    <row r="46" spans="1:9" s="10" customFormat="1" ht="131.25">
      <c r="A46" s="153"/>
      <c r="B46" s="128"/>
      <c r="C46" s="60" t="s">
        <v>153</v>
      </c>
      <c r="D46" s="28"/>
      <c r="E46" s="28"/>
      <c r="F46" s="43">
        <v>0</v>
      </c>
      <c r="G46" s="43">
        <f>50022.29+49277.71</f>
        <v>99300</v>
      </c>
      <c r="H46" s="53">
        <v>99300</v>
      </c>
      <c r="I46" s="56" t="s">
        <v>154</v>
      </c>
    </row>
    <row r="47" spans="1:9" s="10" customFormat="1" ht="168.75">
      <c r="A47" s="153"/>
      <c r="B47" s="128"/>
      <c r="C47" s="60" t="s">
        <v>155</v>
      </c>
      <c r="D47" s="28"/>
      <c r="E47" s="28"/>
      <c r="F47" s="43">
        <v>0</v>
      </c>
      <c r="G47" s="43">
        <f>171217.09+168668.51</f>
        <v>339885.6</v>
      </c>
      <c r="H47" s="53">
        <v>339885.6</v>
      </c>
      <c r="I47" s="56" t="s">
        <v>156</v>
      </c>
    </row>
    <row r="48" spans="1:9" s="10" customFormat="1" ht="56.25">
      <c r="A48" s="153"/>
      <c r="B48" s="128"/>
      <c r="C48" s="60" t="s">
        <v>157</v>
      </c>
      <c r="D48" s="28"/>
      <c r="E48" s="28"/>
      <c r="F48" s="43">
        <v>100000</v>
      </c>
      <c r="G48" s="43">
        <v>198500</v>
      </c>
      <c r="H48" s="53">
        <v>198500</v>
      </c>
      <c r="I48" s="56" t="s">
        <v>158</v>
      </c>
    </row>
    <row r="49" spans="1:9" s="10" customFormat="1" ht="93.75">
      <c r="A49" s="153"/>
      <c r="B49" s="128"/>
      <c r="C49" s="60" t="s">
        <v>159</v>
      </c>
      <c r="D49" s="28"/>
      <c r="E49" s="28"/>
      <c r="F49" s="43">
        <v>57000</v>
      </c>
      <c r="G49" s="43">
        <v>113200</v>
      </c>
      <c r="H49" s="53">
        <v>113200</v>
      </c>
      <c r="I49" s="56" t="s">
        <v>160</v>
      </c>
    </row>
    <row r="50" spans="1:9" s="10" customFormat="1" ht="168.75">
      <c r="A50" s="153"/>
      <c r="B50" s="128"/>
      <c r="C50" s="11" t="s">
        <v>150</v>
      </c>
      <c r="D50" s="28"/>
      <c r="E50" s="28"/>
      <c r="F50" s="43">
        <v>70000</v>
      </c>
      <c r="G50" s="43">
        <v>71900</v>
      </c>
      <c r="H50" s="53">
        <v>71830.320000000007</v>
      </c>
      <c r="I50" s="56"/>
    </row>
    <row r="51" spans="1:9" s="10" customFormat="1">
      <c r="A51" s="153"/>
      <c r="B51" s="128"/>
      <c r="C51" s="62" t="s">
        <v>144</v>
      </c>
      <c r="D51" s="28"/>
      <c r="E51" s="28"/>
      <c r="F51" s="43">
        <v>300000</v>
      </c>
      <c r="G51" s="43">
        <v>300000</v>
      </c>
      <c r="H51" s="53">
        <v>300000</v>
      </c>
      <c r="I51" s="56"/>
    </row>
    <row r="52" spans="1:9" s="10" customFormat="1" ht="37.5">
      <c r="A52" s="153"/>
      <c r="B52" s="128"/>
      <c r="C52" s="11" t="s">
        <v>145</v>
      </c>
      <c r="D52" s="28"/>
      <c r="E52" s="28"/>
      <c r="F52" s="43">
        <v>1500000</v>
      </c>
      <c r="G52" s="43">
        <v>1500000</v>
      </c>
      <c r="H52" s="53">
        <v>1499389.31</v>
      </c>
      <c r="I52" s="56"/>
    </row>
    <row r="53" spans="1:9" s="10" customFormat="1" ht="96" customHeight="1">
      <c r="A53" s="124"/>
      <c r="B53" s="114" t="s">
        <v>98</v>
      </c>
      <c r="C53" s="115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132661800</v>
      </c>
      <c r="G53" s="42">
        <f t="shared" ref="G53" si="8">G54+G55+G56+G57+G58+G59+G60+G61+G62+G63+G64+G65+G66+G67</f>
        <v>258514300</v>
      </c>
      <c r="H53" s="42">
        <f>H54+H55+H56+H57+H58+H59+H60+H61+H62+H63+H64+H65+H66+H67+179.97</f>
        <v>258372879.23999998</v>
      </c>
      <c r="I53" s="70"/>
    </row>
    <row r="54" spans="1:9" s="10" customFormat="1" ht="131.25">
      <c r="A54" s="125"/>
      <c r="B54" s="127" t="s">
        <v>12</v>
      </c>
      <c r="C54" s="67" t="s">
        <v>161</v>
      </c>
      <c r="D54" s="64"/>
      <c r="E54" s="64"/>
      <c r="F54" s="65">
        <v>50000</v>
      </c>
      <c r="G54" s="65">
        <v>50000</v>
      </c>
      <c r="H54" s="73">
        <v>50000</v>
      </c>
      <c r="I54" s="60"/>
    </row>
    <row r="55" spans="1:9" s="10" customFormat="1" ht="56.25">
      <c r="A55" s="125"/>
      <c r="B55" s="128"/>
      <c r="C55" s="67" t="s">
        <v>162</v>
      </c>
      <c r="D55" s="64"/>
      <c r="E55" s="64"/>
      <c r="F55" s="65">
        <v>30000</v>
      </c>
      <c r="G55" s="65">
        <v>20000</v>
      </c>
      <c r="H55" s="73">
        <v>16792.13</v>
      </c>
      <c r="I55" s="60"/>
    </row>
    <row r="56" spans="1:9" s="10" customFormat="1" ht="75">
      <c r="A56" s="125"/>
      <c r="B56" s="128"/>
      <c r="C56" s="67" t="s">
        <v>163</v>
      </c>
      <c r="D56" s="64"/>
      <c r="E56" s="64"/>
      <c r="F56" s="65">
        <v>2000000</v>
      </c>
      <c r="G56" s="65">
        <v>2000000</v>
      </c>
      <c r="H56" s="73">
        <f>104500+1895478</f>
        <v>1999978</v>
      </c>
      <c r="I56" s="60"/>
    </row>
    <row r="57" spans="1:9" s="10" customFormat="1" ht="75">
      <c r="A57" s="125"/>
      <c r="B57" s="128"/>
      <c r="C57" s="67" t="s">
        <v>165</v>
      </c>
      <c r="D57" s="64"/>
      <c r="E57" s="64"/>
      <c r="F57" s="65">
        <v>0</v>
      </c>
      <c r="G57" s="65">
        <v>2365400</v>
      </c>
      <c r="H57" s="73">
        <v>2365400</v>
      </c>
      <c r="I57" s="66"/>
    </row>
    <row r="58" spans="1:9" s="10" customFormat="1" ht="56.25">
      <c r="A58" s="125"/>
      <c r="B58" s="128"/>
      <c r="C58" s="67" t="s">
        <v>164</v>
      </c>
      <c r="D58" s="64"/>
      <c r="E58" s="64"/>
      <c r="F58" s="65">
        <v>5704800</v>
      </c>
      <c r="G58" s="65">
        <v>6138800</v>
      </c>
      <c r="H58" s="73">
        <f>6023966.72-1806.7</f>
        <v>6022160.0199999996</v>
      </c>
      <c r="I58" s="66"/>
    </row>
    <row r="59" spans="1:9" s="10" customFormat="1" ht="93.75">
      <c r="A59" s="125"/>
      <c r="B59" s="128"/>
      <c r="C59" s="67" t="s">
        <v>166</v>
      </c>
      <c r="D59" s="64"/>
      <c r="E59" s="64"/>
      <c r="F59" s="65">
        <v>1300000</v>
      </c>
      <c r="G59" s="65">
        <v>1300000</v>
      </c>
      <c r="H59" s="73">
        <v>1299511.82</v>
      </c>
      <c r="I59" s="60"/>
    </row>
    <row r="60" spans="1:9" s="10" customFormat="1" ht="106.5" customHeight="1">
      <c r="A60" s="125"/>
      <c r="B60" s="128"/>
      <c r="C60" s="67" t="s">
        <v>167</v>
      </c>
      <c r="D60" s="64"/>
      <c r="E60" s="64"/>
      <c r="F60" s="65">
        <v>700000</v>
      </c>
      <c r="G60" s="65">
        <v>700000</v>
      </c>
      <c r="H60" s="73">
        <v>678757.3</v>
      </c>
      <c r="I60" s="60"/>
    </row>
    <row r="61" spans="1:9" s="10" customFormat="1" ht="56.25">
      <c r="A61" s="125"/>
      <c r="B61" s="128"/>
      <c r="C61" s="67" t="s">
        <v>168</v>
      </c>
      <c r="D61" s="64"/>
      <c r="E61" s="64"/>
      <c r="F61" s="65">
        <v>0</v>
      </c>
      <c r="G61" s="65">
        <v>350100</v>
      </c>
      <c r="H61" s="73">
        <f>16300+216993.3+1806.7+7700+107300</f>
        <v>350100</v>
      </c>
      <c r="I61" s="11" t="s">
        <v>169</v>
      </c>
    </row>
    <row r="62" spans="1:9" s="10" customFormat="1" ht="56.25">
      <c r="A62" s="125"/>
      <c r="B62" s="128"/>
      <c r="C62" s="67" t="s">
        <v>170</v>
      </c>
      <c r="D62" s="64"/>
      <c r="E62" s="64"/>
      <c r="F62" s="65">
        <v>150000</v>
      </c>
      <c r="G62" s="65">
        <v>75000</v>
      </c>
      <c r="H62" s="73">
        <v>75000</v>
      </c>
      <c r="I62" s="60"/>
    </row>
    <row r="63" spans="1:9" s="10" customFormat="1" ht="56.25">
      <c r="A63" s="125"/>
      <c r="B63" s="128"/>
      <c r="C63" s="67" t="s">
        <v>171</v>
      </c>
      <c r="D63" s="64"/>
      <c r="E63" s="64"/>
      <c r="F63" s="65">
        <v>100000</v>
      </c>
      <c r="G63" s="65">
        <v>60000</v>
      </c>
      <c r="H63" s="73">
        <v>60000</v>
      </c>
      <c r="I63" s="60"/>
    </row>
    <row r="64" spans="1:9" s="10" customFormat="1" ht="37.5">
      <c r="A64" s="125"/>
      <c r="B64" s="128"/>
      <c r="C64" s="67" t="s">
        <v>172</v>
      </c>
      <c r="D64" s="64"/>
      <c r="E64" s="64"/>
      <c r="F64" s="65">
        <v>50000</v>
      </c>
      <c r="G64" s="65">
        <v>0</v>
      </c>
      <c r="H64" s="73">
        <v>0</v>
      </c>
      <c r="I64" s="60"/>
    </row>
    <row r="65" spans="1:9" s="10" customFormat="1" ht="56.25">
      <c r="A65" s="125"/>
      <c r="B65" s="128"/>
      <c r="C65" s="67" t="s">
        <v>173</v>
      </c>
      <c r="D65" s="64"/>
      <c r="E65" s="64"/>
      <c r="F65" s="65">
        <v>100000</v>
      </c>
      <c r="G65" s="65">
        <v>0</v>
      </c>
      <c r="H65" s="73">
        <v>0</v>
      </c>
      <c r="I65" s="60"/>
    </row>
    <row r="66" spans="1:9" s="10" customFormat="1" ht="60" customHeight="1">
      <c r="A66" s="125"/>
      <c r="B66" s="128"/>
      <c r="C66" s="68" t="s">
        <v>55</v>
      </c>
      <c r="D66" s="61">
        <v>5000000</v>
      </c>
      <c r="E66" s="61">
        <v>5000000</v>
      </c>
      <c r="F66" s="65">
        <v>10000000</v>
      </c>
      <c r="G66" s="65">
        <f>54320.98+9945679.02+42400000</f>
        <v>52400000</v>
      </c>
      <c r="H66" s="73">
        <f>54320.98+9945679.02+42400000</f>
        <v>52400000</v>
      </c>
      <c r="I66" s="11" t="s">
        <v>174</v>
      </c>
    </row>
    <row r="67" spans="1:9" s="10" customFormat="1" ht="37.5">
      <c r="A67" s="126"/>
      <c r="B67" s="129"/>
      <c r="C67" s="69" t="s">
        <v>23</v>
      </c>
      <c r="D67" s="12">
        <f>60500000+242578000</f>
        <v>303078000</v>
      </c>
      <c r="E67" s="12">
        <f t="shared" ref="E67" si="9">60500000+162000000</f>
        <v>222500000</v>
      </c>
      <c r="F67" s="43">
        <v>112477000</v>
      </c>
      <c r="G67" s="43">
        <f>65153412.69+47323587.31+80578000</f>
        <v>193055000</v>
      </c>
      <c r="H67" s="53">
        <f>65153412.69+47323587.31+80578000</f>
        <v>193055000</v>
      </c>
      <c r="I67" s="11" t="s">
        <v>175</v>
      </c>
    </row>
    <row r="68" spans="1:9" s="10" customFormat="1" ht="86.25" customHeight="1">
      <c r="A68" s="124"/>
      <c r="B68" s="99" t="s">
        <v>41</v>
      </c>
      <c r="C68" s="100"/>
      <c r="D68" s="28">
        <f>2120000+160000+117000+72000</f>
        <v>2469000</v>
      </c>
      <c r="E68" s="28">
        <f t="shared" ref="E68" si="10">2120000+160000+117000+72000</f>
        <v>2469000</v>
      </c>
      <c r="F68" s="77">
        <f>F69+F70+F71+F72+F73+F74+F75+F76+F77+F78+F79+F80+F81+F82+F83+F84+F90+F91</f>
        <v>607116300</v>
      </c>
      <c r="G68" s="43">
        <f t="shared" ref="G68:H68" si="11">G69+G70+G71+G72+G73+G74+G75+G76+G77+G78+G79+G80+G81+G82+G83+G84+G90+G91</f>
        <v>822936815.12</v>
      </c>
      <c r="H68" s="53">
        <f t="shared" si="11"/>
        <v>822862222.12</v>
      </c>
      <c r="I68" s="11"/>
    </row>
    <row r="69" spans="1:9" s="10" customFormat="1" ht="37.5">
      <c r="A69" s="125"/>
      <c r="B69" s="154" t="s">
        <v>135</v>
      </c>
      <c r="C69" s="11" t="s">
        <v>26</v>
      </c>
      <c r="D69" s="12">
        <v>100375000</v>
      </c>
      <c r="E69" s="12">
        <v>100375000</v>
      </c>
      <c r="F69" s="43">
        <v>105000000</v>
      </c>
      <c r="G69" s="43">
        <v>142425500</v>
      </c>
      <c r="H69" s="53">
        <f>10010+142415490</f>
        <v>142425500</v>
      </c>
      <c r="I69" s="13"/>
    </row>
    <row r="70" spans="1:9" s="10" customFormat="1" ht="37.5">
      <c r="A70" s="125"/>
      <c r="B70" s="155"/>
      <c r="C70" s="11" t="s">
        <v>8</v>
      </c>
      <c r="D70" s="12">
        <v>15000</v>
      </c>
      <c r="E70" s="12">
        <v>0</v>
      </c>
      <c r="F70" s="43">
        <v>30000</v>
      </c>
      <c r="G70" s="43">
        <v>0</v>
      </c>
      <c r="H70" s="53">
        <v>0</v>
      </c>
      <c r="I70" s="13"/>
    </row>
    <row r="71" spans="1:9" s="10" customFormat="1" ht="37.5">
      <c r="A71" s="125"/>
      <c r="B71" s="155"/>
      <c r="C71" s="11" t="s">
        <v>9</v>
      </c>
      <c r="D71" s="12">
        <v>600000</v>
      </c>
      <c r="E71" s="12">
        <v>600000</v>
      </c>
      <c r="F71" s="43">
        <v>600000</v>
      </c>
      <c r="G71" s="43">
        <v>600000</v>
      </c>
      <c r="H71" s="53">
        <v>600000</v>
      </c>
      <c r="I71" s="13"/>
    </row>
    <row r="72" spans="1:9" s="10" customFormat="1" ht="56.25">
      <c r="A72" s="125"/>
      <c r="B72" s="155"/>
      <c r="C72" s="23" t="s">
        <v>20</v>
      </c>
      <c r="D72" s="12">
        <f>221495400+183735800</f>
        <v>405231200</v>
      </c>
      <c r="E72" s="12">
        <f t="shared" ref="E72" si="12">221495400+183735800</f>
        <v>405231200</v>
      </c>
      <c r="F72" s="43">
        <v>266028200</v>
      </c>
      <c r="G72" s="43">
        <f>264776200+172870400</f>
        <v>437646600</v>
      </c>
      <c r="H72" s="53">
        <f>264776200+172870400</f>
        <v>437646600</v>
      </c>
      <c r="I72" s="11" t="s">
        <v>181</v>
      </c>
    </row>
    <row r="73" spans="1:9" s="10" customFormat="1" ht="56.25">
      <c r="A73" s="125"/>
      <c r="B73" s="155"/>
      <c r="C73" s="22" t="s">
        <v>10</v>
      </c>
      <c r="D73" s="12">
        <f>44300+1000</f>
        <v>45300</v>
      </c>
      <c r="E73" s="12">
        <v>0</v>
      </c>
      <c r="F73" s="43">
        <v>58600</v>
      </c>
      <c r="G73" s="43">
        <v>33600</v>
      </c>
      <c r="H73" s="53">
        <v>0</v>
      </c>
      <c r="I73" s="11" t="s">
        <v>187</v>
      </c>
    </row>
    <row r="74" spans="1:9" s="10" customFormat="1" ht="56.25">
      <c r="A74" s="125"/>
      <c r="B74" s="155"/>
      <c r="C74" s="22" t="s">
        <v>56</v>
      </c>
      <c r="D74" s="12">
        <f>38313700+13169600</f>
        <v>51483300</v>
      </c>
      <c r="E74" s="12">
        <f t="shared" ref="E74" si="13">38313700+13169600</f>
        <v>51483300</v>
      </c>
      <c r="F74" s="43">
        <v>38313700</v>
      </c>
      <c r="G74" s="43">
        <v>38313700</v>
      </c>
      <c r="H74" s="53">
        <v>38313700</v>
      </c>
      <c r="I74" s="11"/>
    </row>
    <row r="75" spans="1:9" s="10" customFormat="1" ht="93.75">
      <c r="A75" s="125"/>
      <c r="B75" s="155"/>
      <c r="C75" s="34" t="s">
        <v>34</v>
      </c>
      <c r="D75" s="13">
        <v>38100</v>
      </c>
      <c r="E75" s="36">
        <v>12855.37</v>
      </c>
      <c r="F75" s="71">
        <v>39700</v>
      </c>
      <c r="G75" s="71">
        <v>39700</v>
      </c>
      <c r="H75" s="74">
        <v>0</v>
      </c>
      <c r="I75" s="11" t="s">
        <v>176</v>
      </c>
    </row>
    <row r="76" spans="1:9" s="10" customFormat="1" ht="112.5">
      <c r="A76" s="125"/>
      <c r="B76" s="155"/>
      <c r="C76" s="34" t="s">
        <v>35</v>
      </c>
      <c r="D76" s="24">
        <v>4036300</v>
      </c>
      <c r="E76" s="36">
        <v>3469266.14</v>
      </c>
      <c r="F76" s="71">
        <v>4277800</v>
      </c>
      <c r="G76" s="74">
        <v>4403815.12</v>
      </c>
      <c r="H76" s="74">
        <v>4403815.12</v>
      </c>
      <c r="I76" s="11" t="s">
        <v>177</v>
      </c>
    </row>
    <row r="77" spans="1:9" s="10" customFormat="1" ht="75">
      <c r="A77" s="125"/>
      <c r="B77" s="155"/>
      <c r="C77" s="34" t="s">
        <v>178</v>
      </c>
      <c r="D77" s="24"/>
      <c r="E77" s="36"/>
      <c r="F77" s="71">
        <v>0</v>
      </c>
      <c r="G77" s="71">
        <v>1500000</v>
      </c>
      <c r="H77" s="74">
        <v>1498707</v>
      </c>
      <c r="I77" s="11"/>
    </row>
    <row r="78" spans="1:9" s="10" customFormat="1" ht="56.25">
      <c r="A78" s="125"/>
      <c r="B78" s="155"/>
      <c r="C78" s="34" t="s">
        <v>179</v>
      </c>
      <c r="D78" s="24"/>
      <c r="E78" s="36"/>
      <c r="F78" s="71">
        <v>0</v>
      </c>
      <c r="G78" s="71">
        <v>700000</v>
      </c>
      <c r="H78" s="74">
        <v>700000</v>
      </c>
      <c r="I78" s="11"/>
    </row>
    <row r="79" spans="1:9" s="10" customFormat="1" ht="56.25">
      <c r="A79" s="125"/>
      <c r="B79" s="155"/>
      <c r="C79" s="34" t="s">
        <v>180</v>
      </c>
      <c r="D79" s="24"/>
      <c r="E79" s="36"/>
      <c r="F79" s="71">
        <v>1796600</v>
      </c>
      <c r="G79" s="71">
        <v>420000</v>
      </c>
      <c r="H79" s="74">
        <v>420000</v>
      </c>
      <c r="I79" s="11"/>
    </row>
    <row r="80" spans="1:9" s="10" customFormat="1" ht="56.25">
      <c r="A80" s="125"/>
      <c r="B80" s="155"/>
      <c r="C80" s="34" t="s">
        <v>183</v>
      </c>
      <c r="D80" s="24"/>
      <c r="E80" s="36"/>
      <c r="F80" s="71">
        <v>110000</v>
      </c>
      <c r="G80" s="71">
        <v>110000</v>
      </c>
      <c r="H80" s="74">
        <v>110000</v>
      </c>
      <c r="I80" s="11"/>
    </row>
    <row r="81" spans="1:9" s="10" customFormat="1" ht="93.75">
      <c r="A81" s="125"/>
      <c r="B81" s="155"/>
      <c r="C81" s="34" t="s">
        <v>184</v>
      </c>
      <c r="D81" s="24"/>
      <c r="E81" s="36"/>
      <c r="F81" s="71">
        <v>55000</v>
      </c>
      <c r="G81" s="71">
        <v>55000</v>
      </c>
      <c r="H81" s="74">
        <v>55000</v>
      </c>
      <c r="I81" s="11"/>
    </row>
    <row r="82" spans="1:9" s="10" customFormat="1" ht="93.75">
      <c r="A82" s="125"/>
      <c r="B82" s="155"/>
      <c r="C82" s="34" t="s">
        <v>185</v>
      </c>
      <c r="D82" s="24"/>
      <c r="E82" s="36"/>
      <c r="F82" s="71">
        <v>20000</v>
      </c>
      <c r="G82" s="71">
        <v>20000</v>
      </c>
      <c r="H82" s="74">
        <v>20000</v>
      </c>
      <c r="I82" s="11"/>
    </row>
    <row r="83" spans="1:9" s="10" customFormat="1" ht="62.25" customHeight="1">
      <c r="A83" s="125"/>
      <c r="B83" s="155"/>
      <c r="C83" s="34" t="s">
        <v>186</v>
      </c>
      <c r="D83" s="24"/>
      <c r="E83" s="36"/>
      <c r="F83" s="71">
        <v>45000</v>
      </c>
      <c r="G83" s="71">
        <v>44000</v>
      </c>
      <c r="H83" s="74">
        <v>44000</v>
      </c>
      <c r="I83" s="11"/>
    </row>
    <row r="84" spans="1:9" s="10" customFormat="1" ht="131.25">
      <c r="A84" s="126"/>
      <c r="B84" s="155"/>
      <c r="C84" s="34" t="s">
        <v>36</v>
      </c>
      <c r="D84" s="24">
        <v>188484500</v>
      </c>
      <c r="E84" s="36">
        <v>188484500</v>
      </c>
      <c r="F84" s="71">
        <v>190679700</v>
      </c>
      <c r="G84" s="71">
        <v>196562900</v>
      </c>
      <c r="H84" s="74">
        <v>196562900</v>
      </c>
      <c r="I84" s="11" t="s">
        <v>182</v>
      </c>
    </row>
    <row r="85" spans="1:9" s="10" customFormat="1" ht="18.75" hidden="1" customHeight="1">
      <c r="A85" s="30">
        <v>5</v>
      </c>
      <c r="B85" s="155"/>
      <c r="C85" s="16" t="s">
        <v>1</v>
      </c>
      <c r="D85" s="9">
        <f>D86+D87+D89+D88</f>
        <v>0</v>
      </c>
      <c r="E85" s="9"/>
      <c r="F85" s="51"/>
      <c r="G85" s="51"/>
      <c r="H85" s="53"/>
      <c r="I85" s="13"/>
    </row>
    <row r="86" spans="1:9" s="26" customFormat="1" ht="37.5" hidden="1" customHeight="1">
      <c r="A86" s="33"/>
      <c r="B86" s="155"/>
      <c r="C86" s="25" t="s">
        <v>2</v>
      </c>
      <c r="D86" s="19"/>
      <c r="E86" s="19"/>
      <c r="F86" s="52"/>
      <c r="G86" s="52"/>
      <c r="H86" s="53"/>
      <c r="I86" s="18"/>
    </row>
    <row r="87" spans="1:9" s="26" customFormat="1" ht="33.6" hidden="1" customHeight="1">
      <c r="A87" s="33"/>
      <c r="B87" s="155"/>
      <c r="C87" s="25" t="s">
        <v>3</v>
      </c>
      <c r="D87" s="19"/>
      <c r="E87" s="19"/>
      <c r="F87" s="52"/>
      <c r="G87" s="52"/>
      <c r="H87" s="53"/>
      <c r="I87" s="18"/>
    </row>
    <row r="88" spans="1:9" s="10" customFormat="1" ht="33.6" hidden="1" customHeight="1">
      <c r="A88" s="32"/>
      <c r="B88" s="155"/>
      <c r="C88" s="27"/>
      <c r="D88" s="12"/>
      <c r="E88" s="12"/>
      <c r="F88" s="43"/>
      <c r="G88" s="43"/>
      <c r="H88" s="53"/>
      <c r="I88" s="13"/>
    </row>
    <row r="89" spans="1:9" s="10" customFormat="1" ht="32.450000000000003" hidden="1" customHeight="1">
      <c r="A89" s="32"/>
      <c r="B89" s="155"/>
      <c r="C89" s="27"/>
      <c r="D89" s="12"/>
      <c r="E89" s="28"/>
      <c r="F89" s="43"/>
      <c r="G89" s="43"/>
      <c r="H89" s="53"/>
      <c r="I89" s="13"/>
    </row>
    <row r="90" spans="1:9" s="10" customFormat="1" ht="112.5">
      <c r="A90" s="32"/>
      <c r="B90" s="155"/>
      <c r="C90" s="27" t="s">
        <v>188</v>
      </c>
      <c r="D90" s="12"/>
      <c r="E90" s="28"/>
      <c r="F90" s="43">
        <v>46000</v>
      </c>
      <c r="G90" s="43">
        <v>46000</v>
      </c>
      <c r="H90" s="53">
        <v>46000</v>
      </c>
      <c r="I90" s="13"/>
    </row>
    <row r="91" spans="1:9" s="10" customFormat="1" ht="93.75" customHeight="1">
      <c r="A91" s="32"/>
      <c r="B91" s="156"/>
      <c r="C91" s="27" t="s">
        <v>189</v>
      </c>
      <c r="D91" s="12"/>
      <c r="E91" s="28"/>
      <c r="F91" s="43">
        <v>16000</v>
      </c>
      <c r="G91" s="43">
        <v>16000</v>
      </c>
      <c r="H91" s="53">
        <v>16000</v>
      </c>
      <c r="I91" s="13"/>
    </row>
    <row r="92" spans="1:9" s="10" customFormat="1" ht="66.75" customHeight="1">
      <c r="A92" s="38">
        <v>5</v>
      </c>
      <c r="B92" s="101" t="s">
        <v>22</v>
      </c>
      <c r="C92" s="102"/>
      <c r="D92" s="9">
        <v>33309103</v>
      </c>
      <c r="E92" s="9">
        <v>33309102.949999999</v>
      </c>
      <c r="F92" s="51">
        <v>42640000</v>
      </c>
      <c r="G92" s="51">
        <v>43440000</v>
      </c>
      <c r="H92" s="51">
        <v>43355964.380000003</v>
      </c>
      <c r="I92" s="13"/>
    </row>
    <row r="93" spans="1:9" s="10" customFormat="1" ht="144" customHeight="1">
      <c r="A93" s="39">
        <v>6</v>
      </c>
      <c r="B93" s="148" t="s">
        <v>43</v>
      </c>
      <c r="C93" s="148"/>
      <c r="D93" s="40">
        <v>3152500</v>
      </c>
      <c r="E93" s="40">
        <v>3130229.34</v>
      </c>
      <c r="F93" s="54">
        <v>3349200</v>
      </c>
      <c r="G93" s="54">
        <v>3349200</v>
      </c>
      <c r="H93" s="54">
        <v>2829352.61</v>
      </c>
      <c r="I93" s="13"/>
    </row>
    <row r="94" spans="1:9" s="10" customFormat="1" ht="68.25" customHeight="1">
      <c r="A94" s="39">
        <v>7</v>
      </c>
      <c r="B94" s="149" t="s">
        <v>102</v>
      </c>
      <c r="C94" s="149"/>
      <c r="D94" s="41">
        <v>2633900</v>
      </c>
      <c r="E94" s="41">
        <v>1740839.97</v>
      </c>
      <c r="F94" s="54">
        <v>0</v>
      </c>
      <c r="G94" s="54">
        <v>99200</v>
      </c>
      <c r="H94" s="54">
        <v>85277.09</v>
      </c>
      <c r="I94" s="11"/>
    </row>
    <row r="95" spans="1:9" s="10" customFormat="1" ht="60" customHeight="1">
      <c r="A95" s="39">
        <v>8</v>
      </c>
      <c r="B95" s="144" t="s">
        <v>127</v>
      </c>
      <c r="C95" s="144"/>
      <c r="D95" s="41">
        <v>100000</v>
      </c>
      <c r="E95" s="41">
        <v>100000</v>
      </c>
      <c r="F95" s="54">
        <v>0</v>
      </c>
      <c r="G95" s="54">
        <v>7240000</v>
      </c>
      <c r="H95" s="54">
        <v>7240000</v>
      </c>
      <c r="I95" s="11" t="s">
        <v>190</v>
      </c>
    </row>
    <row r="96" spans="1:9" s="10" customFormat="1" ht="60" customHeight="1">
      <c r="A96" s="38">
        <v>9</v>
      </c>
      <c r="B96" s="75"/>
      <c r="C96" s="76" t="s">
        <v>194</v>
      </c>
      <c r="D96" s="41"/>
      <c r="E96" s="41"/>
      <c r="F96" s="54">
        <v>0</v>
      </c>
      <c r="G96" s="54">
        <v>35065800</v>
      </c>
      <c r="H96" s="54">
        <v>34277688.939999998</v>
      </c>
      <c r="I96" s="11"/>
    </row>
    <row r="97" spans="1:9" s="10" customFormat="1" ht="39" customHeight="1">
      <c r="A97" s="31"/>
      <c r="B97" s="132" t="s">
        <v>58</v>
      </c>
      <c r="C97" s="133"/>
      <c r="D97" s="58" t="e">
        <f>D4+D8+D14+D20+#REF!+D92+D93+D94+D95</f>
        <v>#REF!</v>
      </c>
      <c r="E97" s="58" t="e">
        <f>E4+E8+E14+E20+#REF!+E92+E93+E94+E95</f>
        <v>#REF!</v>
      </c>
      <c r="F97" s="59">
        <f>F4+F8+F14+F20+F92+F93+F94+F95+F96</f>
        <v>2892353600</v>
      </c>
      <c r="G97" s="59">
        <f t="shared" ref="G97:H97" si="14">G4+G8+G14+G20+G92+G93+G94+G95+G96</f>
        <v>3178978165.1199999</v>
      </c>
      <c r="H97" s="59">
        <f t="shared" si="14"/>
        <v>3056085814.9600005</v>
      </c>
      <c r="I97" s="35">
        <f>F97-2892353600</f>
        <v>0</v>
      </c>
    </row>
    <row r="98" spans="1:9" s="10" customFormat="1">
      <c r="C98" s="29"/>
    </row>
    <row r="99" spans="1:9" s="10" customFormat="1"/>
    <row r="100" spans="1:9" s="10" customFormat="1"/>
    <row r="111" spans="1:9">
      <c r="C111" s="4"/>
    </row>
    <row r="113" spans="3:3">
      <c r="C113" s="4"/>
    </row>
    <row r="710" spans="5:8">
      <c r="E710" s="2"/>
      <c r="F710" s="2"/>
      <c r="G710" s="2"/>
      <c r="H710" s="2"/>
    </row>
  </sheetData>
  <mergeCells count="42">
    <mergeCell ref="B94:C94"/>
    <mergeCell ref="B95:C95"/>
    <mergeCell ref="B97:C97"/>
    <mergeCell ref="A68:A84"/>
    <mergeCell ref="B68:C68"/>
    <mergeCell ref="B92:C92"/>
    <mergeCell ref="B93:C93"/>
    <mergeCell ref="B69:B91"/>
    <mergeCell ref="B21:C21"/>
    <mergeCell ref="B22:C22"/>
    <mergeCell ref="B23:C23"/>
    <mergeCell ref="B24:C24"/>
    <mergeCell ref="B26:C26"/>
    <mergeCell ref="B27:C27"/>
    <mergeCell ref="B28:B39"/>
    <mergeCell ref="B42:C42"/>
    <mergeCell ref="B53:C53"/>
    <mergeCell ref="B43:B52"/>
    <mergeCell ref="A53:A67"/>
    <mergeCell ref="A42:A52"/>
    <mergeCell ref="B9:B13"/>
    <mergeCell ref="A14:A19"/>
    <mergeCell ref="I14:I19"/>
    <mergeCell ref="B15:B19"/>
    <mergeCell ref="B20:C20"/>
    <mergeCell ref="B25:C25"/>
    <mergeCell ref="A8:A13"/>
    <mergeCell ref="B8:C8"/>
    <mergeCell ref="I8:I13"/>
    <mergeCell ref="B54:B67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</mergeCells>
  <pageMargins left="0.15748031496062992" right="0.15748031496062992" top="0.19685039370078741" bottom="0.19685039370078741" header="0.15748031496062992" footer="0.15748031496062992"/>
  <pageSetup paperSize="9" scale="56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6"/>
  <sheetViews>
    <sheetView view="pageBreakPreview" topLeftCell="C56" zoomScale="60" zoomScaleNormal="60" workbookViewId="0">
      <selection activeCell="H66" sqref="H66"/>
    </sheetView>
  </sheetViews>
  <sheetFormatPr defaultColWidth="0" defaultRowHeight="18.75"/>
  <cols>
    <col min="1" max="1" width="5.1406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10" ht="27.4" customHeight="1">
      <c r="C1" s="5" t="s">
        <v>199</v>
      </c>
    </row>
    <row r="2" spans="1:10" s="6" customFormat="1" ht="139.5" customHeight="1">
      <c r="A2" s="130"/>
      <c r="B2" s="95" t="s">
        <v>0</v>
      </c>
      <c r="C2" s="96"/>
      <c r="D2" s="91" t="s">
        <v>14</v>
      </c>
      <c r="E2" s="93" t="s">
        <v>84</v>
      </c>
      <c r="F2" s="91" t="s">
        <v>198</v>
      </c>
      <c r="G2" s="91" t="s">
        <v>223</v>
      </c>
      <c r="H2" s="93" t="s">
        <v>222</v>
      </c>
      <c r="I2" s="134" t="s">
        <v>59</v>
      </c>
    </row>
    <row r="3" spans="1:10" s="6" customFormat="1" ht="8.25" customHeight="1">
      <c r="A3" s="131"/>
      <c r="B3" s="97"/>
      <c r="C3" s="98"/>
      <c r="D3" s="92"/>
      <c r="E3" s="94"/>
      <c r="F3" s="92"/>
      <c r="G3" s="92"/>
      <c r="H3" s="94"/>
      <c r="I3" s="135"/>
    </row>
    <row r="4" spans="1:10" s="10" customFormat="1" ht="43.5" customHeight="1">
      <c r="A4" s="124">
        <v>1</v>
      </c>
      <c r="B4" s="101" t="s">
        <v>7</v>
      </c>
      <c r="C4" s="102"/>
      <c r="D4" s="9">
        <f>D5+D6+D7</f>
        <v>40272408</v>
      </c>
      <c r="E4" s="9">
        <f t="shared" ref="E4:H4" si="0">E5+E6+E7</f>
        <v>40033747.399999999</v>
      </c>
      <c r="F4" s="51">
        <f t="shared" si="0"/>
        <v>38043800</v>
      </c>
      <c r="G4" s="51">
        <f t="shared" si="0"/>
        <v>37713800</v>
      </c>
      <c r="H4" s="51">
        <f t="shared" si="0"/>
        <v>8539646.7200000007</v>
      </c>
      <c r="I4" s="111" t="s">
        <v>60</v>
      </c>
    </row>
    <row r="5" spans="1:10" s="10" customFormat="1" ht="26.25" customHeight="1">
      <c r="A5" s="125"/>
      <c r="B5" s="10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34423900</v>
      </c>
      <c r="G5" s="35">
        <v>34423900</v>
      </c>
      <c r="H5" s="87">
        <f>5548708.34+1644528.58</f>
        <v>7193236.9199999999</v>
      </c>
      <c r="I5" s="112"/>
    </row>
    <row r="6" spans="1:10" s="10" customFormat="1" ht="26.25" customHeight="1">
      <c r="A6" s="125"/>
      <c r="B6" s="106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168600</v>
      </c>
      <c r="G6" s="35">
        <v>168600</v>
      </c>
      <c r="H6" s="87">
        <v>0</v>
      </c>
      <c r="I6" s="112"/>
    </row>
    <row r="7" spans="1:10" s="10" customFormat="1" ht="27" customHeight="1">
      <c r="A7" s="126"/>
      <c r="B7" s="10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3451300</v>
      </c>
      <c r="G7" s="35">
        <f>3451300-330000</f>
        <v>3121300</v>
      </c>
      <c r="H7" s="87">
        <f>1167658.6+163751.2+15000</f>
        <v>1346409.8</v>
      </c>
      <c r="I7" s="113"/>
    </row>
    <row r="8" spans="1:10" s="10" customFormat="1" ht="30" customHeight="1">
      <c r="A8" s="124">
        <v>2</v>
      </c>
      <c r="B8" s="103" t="s">
        <v>6</v>
      </c>
      <c r="C8" s="104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1057470000</v>
      </c>
      <c r="G8" s="51">
        <f t="shared" si="1"/>
        <v>1061536800</v>
      </c>
      <c r="H8" s="51">
        <f t="shared" si="1"/>
        <v>259320624.59</v>
      </c>
      <c r="I8" s="111" t="s">
        <v>224</v>
      </c>
    </row>
    <row r="9" spans="1:10" s="10" customFormat="1" ht="32.25" customHeight="1">
      <c r="A9" s="125"/>
      <c r="B9" s="10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v>808194600</v>
      </c>
      <c r="G9" s="55">
        <v>808194600</v>
      </c>
      <c r="H9" s="87">
        <v>209302100</v>
      </c>
      <c r="I9" s="112"/>
    </row>
    <row r="10" spans="1:10" s="10" customFormat="1" ht="35.25" customHeight="1">
      <c r="A10" s="125"/>
      <c r="B10" s="10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v>116183300</v>
      </c>
      <c r="G10" s="55">
        <v>116183300</v>
      </c>
      <c r="H10" s="87">
        <v>30339200</v>
      </c>
      <c r="I10" s="112"/>
    </row>
    <row r="11" spans="1:10" s="10" customFormat="1" ht="32.25" customHeight="1">
      <c r="A11" s="125"/>
      <c r="B11" s="109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v>91638300</v>
      </c>
      <c r="G11" s="55">
        <v>91638300</v>
      </c>
      <c r="H11" s="87">
        <v>15578400</v>
      </c>
      <c r="I11" s="112"/>
    </row>
    <row r="12" spans="1:10" s="10" customFormat="1" ht="32.25" customHeight="1">
      <c r="A12" s="125"/>
      <c r="B12" s="109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87">
        <v>1796700</v>
      </c>
      <c r="I12" s="112"/>
    </row>
    <row r="13" spans="1:10" s="10" customFormat="1" ht="45" customHeight="1">
      <c r="A13" s="126"/>
      <c r="B13" s="11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v>33461800</v>
      </c>
      <c r="G13" s="35">
        <v>37528600</v>
      </c>
      <c r="H13" s="87">
        <f>97308.1+679943.36+33025059+215635083+41937+378-H10-H11-H12-H9+7568460.25+2272635.85-179.97</f>
        <v>2304224.5900000082</v>
      </c>
      <c r="I13" s="113"/>
    </row>
    <row r="14" spans="1:10" s="10" customFormat="1">
      <c r="A14" s="124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66063200</v>
      </c>
      <c r="G14" s="51">
        <f t="shared" si="4"/>
        <v>74633700</v>
      </c>
      <c r="H14" s="51">
        <f>H15+H16+H17+H18+H19</f>
        <v>17186631.849999998</v>
      </c>
      <c r="I14" s="136" t="s">
        <v>62</v>
      </c>
    </row>
    <row r="15" spans="1:10" s="10" customFormat="1" ht="18.75" customHeight="1">
      <c r="A15" s="125"/>
      <c r="B15" s="11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v>53774100</v>
      </c>
      <c r="G15" s="35">
        <f>53774100+2606500</f>
        <v>56380600</v>
      </c>
      <c r="H15" s="87">
        <f>10677095.79+3189200</f>
        <v>13866295.789999999</v>
      </c>
      <c r="I15" s="137"/>
      <c r="J15" s="20"/>
    </row>
    <row r="16" spans="1:10" s="10" customFormat="1" ht="25.5" customHeight="1">
      <c r="A16" s="125"/>
      <c r="B16" s="112"/>
      <c r="C16" s="11" t="s">
        <v>37</v>
      </c>
      <c r="D16" s="12">
        <f>2816100+1303800+140000</f>
        <v>4259900</v>
      </c>
      <c r="E16" s="12">
        <v>3601351.58</v>
      </c>
      <c r="F16" s="35">
        <v>4745000</v>
      </c>
      <c r="G16" s="35">
        <v>4745000</v>
      </c>
      <c r="H16" s="87">
        <f>900000+400000+33500</f>
        <v>1333500</v>
      </c>
      <c r="I16" s="137"/>
    </row>
    <row r="17" spans="1:10" s="10" customFormat="1" ht="22.5" customHeight="1">
      <c r="A17" s="125"/>
      <c r="B17" s="11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v>7044100</v>
      </c>
      <c r="G17" s="35">
        <f>7044100+6464000</f>
        <v>13508100</v>
      </c>
      <c r="H17" s="87">
        <f>7980+3307628.06+4728-H16</f>
        <v>1986836.06</v>
      </c>
      <c r="I17" s="137"/>
    </row>
    <row r="18" spans="1:10" s="10" customFormat="1" ht="61.5" customHeight="1">
      <c r="A18" s="125"/>
      <c r="B18" s="112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87">
        <v>0</v>
      </c>
      <c r="I18" s="137"/>
    </row>
    <row r="19" spans="1:10" s="10" customFormat="1" ht="52.5" customHeight="1">
      <c r="A19" s="126"/>
      <c r="B19" s="11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8"/>
    </row>
    <row r="20" spans="1:10" s="17" customFormat="1">
      <c r="A20" s="30">
        <v>4</v>
      </c>
      <c r="B20" s="120" t="s">
        <v>45</v>
      </c>
      <c r="C20" s="121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1882869300</v>
      </c>
      <c r="G20" s="51">
        <f t="shared" ref="G20:H20" si="5">G22+G23+G24+G25+G26+G27+G42+G53+G68</f>
        <v>1954194000</v>
      </c>
      <c r="H20" s="51">
        <f t="shared" si="5"/>
        <v>440138931.65999997</v>
      </c>
      <c r="I20" s="49"/>
    </row>
    <row r="21" spans="1:10" s="17" customFormat="1">
      <c r="A21" s="33"/>
      <c r="B21" s="122" t="s">
        <v>12</v>
      </c>
      <c r="C21" s="12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8" t="s">
        <v>63</v>
      </c>
      <c r="C22" s="119"/>
      <c r="D22" s="14">
        <v>255000</v>
      </c>
      <c r="E22" s="14">
        <v>255000</v>
      </c>
      <c r="F22" s="53">
        <v>0</v>
      </c>
      <c r="G22" s="53">
        <v>0</v>
      </c>
      <c r="H22" s="53">
        <v>0</v>
      </c>
      <c r="I22" s="49" t="s">
        <v>64</v>
      </c>
    </row>
    <row r="23" spans="1:10" s="17" customFormat="1" ht="102.75" customHeight="1">
      <c r="A23" s="33"/>
      <c r="B23" s="116" t="s">
        <v>87</v>
      </c>
      <c r="C23" s="117"/>
      <c r="D23" s="43">
        <v>95500</v>
      </c>
      <c r="E23" s="14">
        <v>95500</v>
      </c>
      <c r="F23" s="53">
        <v>78300</v>
      </c>
      <c r="G23" s="53">
        <v>78300</v>
      </c>
      <c r="H23" s="88">
        <v>12000</v>
      </c>
      <c r="I23" s="49" t="s">
        <v>66</v>
      </c>
    </row>
    <row r="24" spans="1:10" s="17" customFormat="1" ht="61.5" customHeight="1">
      <c r="A24" s="33"/>
      <c r="B24" s="116" t="s">
        <v>88</v>
      </c>
      <c r="C24" s="117"/>
      <c r="D24" s="14">
        <f>91500+70000+484000</f>
        <v>645500</v>
      </c>
      <c r="E24" s="14">
        <f>91500+20300+483896.7</f>
        <v>595696.69999999995</v>
      </c>
      <c r="F24" s="53">
        <f>1831300+95000</f>
        <v>1926300</v>
      </c>
      <c r="G24" s="88">
        <f>1831300+95000+64000</f>
        <v>1990300</v>
      </c>
      <c r="H24" s="88">
        <f>108800+70200</f>
        <v>179000</v>
      </c>
      <c r="I24" s="49"/>
    </row>
    <row r="25" spans="1:10" s="17" customFormat="1" ht="64.5" customHeight="1">
      <c r="A25" s="33"/>
      <c r="B25" s="99" t="s">
        <v>42</v>
      </c>
      <c r="C25" s="10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172038600+530300+86191200-66063200</f>
        <v>192696900</v>
      </c>
      <c r="G25" s="43">
        <f>172038600+18551800</f>
        <v>190590400</v>
      </c>
      <c r="H25" s="88">
        <f>52768.52+129289.84+29577778.83+1683415.75+18000+72140+10680+53.4+115720+946995.18+3793.68</f>
        <v>32610635.199999996</v>
      </c>
      <c r="I25" s="11" t="s">
        <v>201</v>
      </c>
      <c r="J25" s="20"/>
    </row>
    <row r="26" spans="1:10" s="17" customFormat="1" ht="109.5" customHeight="1">
      <c r="A26" s="33"/>
      <c r="B26" s="99" t="s">
        <v>89</v>
      </c>
      <c r="C26" s="100"/>
      <c r="D26" s="28">
        <v>4637300</v>
      </c>
      <c r="E26" s="28">
        <f>4029000+608300</f>
        <v>4637300</v>
      </c>
      <c r="F26" s="43">
        <v>3284700</v>
      </c>
      <c r="G26" s="43">
        <v>3284700</v>
      </c>
      <c r="H26" s="88">
        <v>412200</v>
      </c>
      <c r="I26" s="11" t="s">
        <v>200</v>
      </c>
      <c r="J26" s="10"/>
    </row>
    <row r="27" spans="1:10" s="10" customFormat="1" ht="84" customHeight="1">
      <c r="A27" s="38"/>
      <c r="B27" s="114" t="s">
        <v>38</v>
      </c>
      <c r="C27" s="115"/>
      <c r="D27" s="42">
        <v>5502864</v>
      </c>
      <c r="E27" s="42">
        <v>5485853.5999999996</v>
      </c>
      <c r="F27" s="53">
        <f>F28+F29+F30+F31+F32+F33+F34+F35+F36+F37+F39+F38+F40+F41</f>
        <v>827584100</v>
      </c>
      <c r="G27" s="53">
        <f t="shared" ref="G27:H27" si="6">G28+G29+G30+G31+G32+G33+G34+G35+G36+G37+G39+G38+G40+G41</f>
        <v>827584100</v>
      </c>
      <c r="H27" s="88">
        <f t="shared" si="6"/>
        <v>198705836.89000002</v>
      </c>
      <c r="I27" s="13"/>
    </row>
    <row r="28" spans="1:10" s="10" customFormat="1" ht="65.25" customHeight="1">
      <c r="A28" s="46"/>
      <c r="B28" s="124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87">
        <v>96472200</v>
      </c>
      <c r="G28" s="87">
        <v>96472200</v>
      </c>
      <c r="H28" s="87">
        <f>1469.62+24978354.26</f>
        <v>24979823.880000003</v>
      </c>
      <c r="I28" s="13"/>
    </row>
    <row r="29" spans="1:10" s="10" customFormat="1" ht="42" customHeight="1">
      <c r="A29" s="47"/>
      <c r="B29" s="125"/>
      <c r="C29" s="21" t="s">
        <v>31</v>
      </c>
      <c r="D29" s="12">
        <f>65500+1000</f>
        <v>66500</v>
      </c>
      <c r="E29" s="12">
        <f>30998.81</f>
        <v>30998.81</v>
      </c>
      <c r="F29" s="87">
        <v>154400</v>
      </c>
      <c r="G29" s="35">
        <v>154400</v>
      </c>
      <c r="H29" s="87">
        <f>8266.89</f>
        <v>8266.89</v>
      </c>
      <c r="I29" s="11" t="s">
        <v>202</v>
      </c>
    </row>
    <row r="30" spans="1:10" s="10" customFormat="1" ht="42" customHeight="1">
      <c r="A30" s="47"/>
      <c r="B30" s="125"/>
      <c r="C30" s="22" t="s">
        <v>11</v>
      </c>
      <c r="D30" s="12">
        <v>1943000</v>
      </c>
      <c r="E30" s="12">
        <v>1885583</v>
      </c>
      <c r="F30" s="87">
        <v>1943000</v>
      </c>
      <c r="G30" s="35">
        <v>1943000</v>
      </c>
      <c r="H30" s="55">
        <v>0</v>
      </c>
      <c r="I30" s="13"/>
    </row>
    <row r="31" spans="1:10" s="10" customFormat="1" ht="104.25" customHeight="1">
      <c r="A31" s="47"/>
      <c r="B31" s="125"/>
      <c r="C31" s="21" t="s">
        <v>21</v>
      </c>
      <c r="D31" s="12">
        <f>4530547.8+10000</f>
        <v>4540547.8</v>
      </c>
      <c r="E31" s="12">
        <f>2416482.69+4921.41</f>
        <v>2421404.1</v>
      </c>
      <c r="F31" s="87">
        <f>2444800+2112900</f>
        <v>4557700</v>
      </c>
      <c r="G31" s="87">
        <f>2444800+2112900</f>
        <v>4557700</v>
      </c>
      <c r="H31" s="87">
        <f>2210.55+1331772.42</f>
        <v>1333982.97</v>
      </c>
      <c r="I31" s="11" t="s">
        <v>214</v>
      </c>
    </row>
    <row r="32" spans="1:10" s="10" customFormat="1" ht="62.25" customHeight="1">
      <c r="A32" s="47"/>
      <c r="B32" s="125"/>
      <c r="C32" s="15" t="s">
        <v>28</v>
      </c>
      <c r="D32" s="35">
        <v>12738000</v>
      </c>
      <c r="E32" s="13">
        <v>12738000</v>
      </c>
      <c r="F32" s="87">
        <v>12809200</v>
      </c>
      <c r="G32" s="87">
        <v>12809200</v>
      </c>
      <c r="H32" s="87">
        <f>1108.35+2797248.86</f>
        <v>2798357.21</v>
      </c>
      <c r="I32" s="11" t="s">
        <v>216</v>
      </c>
    </row>
    <row r="33" spans="1:9" s="10" customFormat="1" ht="60.75" customHeight="1">
      <c r="A33" s="47"/>
      <c r="B33" s="125"/>
      <c r="C33" s="23" t="s">
        <v>30</v>
      </c>
      <c r="D33" s="24">
        <v>9152800</v>
      </c>
      <c r="E33" s="36">
        <v>8702567.5</v>
      </c>
      <c r="F33" s="86">
        <v>13317500</v>
      </c>
      <c r="G33" s="86">
        <v>13317500</v>
      </c>
      <c r="H33" s="86">
        <v>2270386.3199999998</v>
      </c>
      <c r="I33" s="11" t="s">
        <v>204</v>
      </c>
    </row>
    <row r="34" spans="1:9" s="10" customFormat="1" ht="60.75" customHeight="1">
      <c r="A34" s="47"/>
      <c r="B34" s="125"/>
      <c r="C34" s="23" t="s">
        <v>129</v>
      </c>
      <c r="D34" s="24"/>
      <c r="E34" s="36"/>
      <c r="F34" s="86">
        <v>654084500</v>
      </c>
      <c r="G34" s="86">
        <v>654084500</v>
      </c>
      <c r="H34" s="86">
        <v>125564613.68000001</v>
      </c>
      <c r="I34" s="11" t="s">
        <v>203</v>
      </c>
    </row>
    <row r="35" spans="1:9" s="10" customFormat="1" ht="105.75" customHeight="1">
      <c r="A35" s="47"/>
      <c r="B35" s="125"/>
      <c r="C35" s="23" t="s">
        <v>130</v>
      </c>
      <c r="D35" s="24"/>
      <c r="E35" s="36"/>
      <c r="F35" s="86">
        <v>390000</v>
      </c>
      <c r="G35" s="86">
        <v>390000</v>
      </c>
      <c r="H35" s="72">
        <v>0</v>
      </c>
      <c r="I35" s="11"/>
    </row>
    <row r="36" spans="1:9" s="10" customFormat="1" ht="73.5" hidden="1" customHeight="1">
      <c r="A36" s="47"/>
      <c r="B36" s="125"/>
      <c r="C36" s="23" t="s">
        <v>131</v>
      </c>
      <c r="D36" s="24"/>
      <c r="E36" s="36"/>
      <c r="F36" s="86">
        <v>0</v>
      </c>
      <c r="G36" s="36">
        <v>0</v>
      </c>
      <c r="H36" s="72">
        <v>0</v>
      </c>
      <c r="I36" s="11" t="s">
        <v>139</v>
      </c>
    </row>
    <row r="37" spans="1:9" s="10" customFormat="1" ht="105" hidden="1" customHeight="1">
      <c r="A37" s="47"/>
      <c r="B37" s="125"/>
      <c r="C37" s="23" t="s">
        <v>134</v>
      </c>
      <c r="D37" s="24"/>
      <c r="E37" s="36"/>
      <c r="F37" s="86">
        <v>0</v>
      </c>
      <c r="G37" s="36">
        <v>0</v>
      </c>
      <c r="H37" s="72">
        <v>0</v>
      </c>
      <c r="I37" s="11"/>
    </row>
    <row r="38" spans="1:9" s="10" customFormat="1" ht="105" customHeight="1">
      <c r="A38" s="47"/>
      <c r="B38" s="125"/>
      <c r="C38" s="23" t="s">
        <v>143</v>
      </c>
      <c r="D38" s="24"/>
      <c r="E38" s="36"/>
      <c r="F38" s="86">
        <v>200000</v>
      </c>
      <c r="G38" s="36">
        <v>200000</v>
      </c>
      <c r="H38" s="86">
        <v>46944</v>
      </c>
      <c r="I38" s="11"/>
    </row>
    <row r="39" spans="1:9" s="10" customFormat="1" ht="56.25">
      <c r="A39" s="48"/>
      <c r="B39" s="126"/>
      <c r="C39" s="23" t="s">
        <v>29</v>
      </c>
      <c r="D39" s="24">
        <v>39812000</v>
      </c>
      <c r="E39" s="36">
        <v>38602489.630000003</v>
      </c>
      <c r="F39" s="86">
        <v>43655600</v>
      </c>
      <c r="G39" s="36">
        <v>43655600</v>
      </c>
      <c r="H39" s="86">
        <v>41703461.939999998</v>
      </c>
      <c r="I39" s="11" t="s">
        <v>205</v>
      </c>
    </row>
    <row r="40" spans="1:9" s="10" customFormat="1" ht="93.75" hidden="1">
      <c r="A40" s="47"/>
      <c r="B40" s="82"/>
      <c r="C40" s="79" t="s">
        <v>195</v>
      </c>
      <c r="D40" s="24"/>
      <c r="E40" s="36"/>
      <c r="F40" s="36">
        <v>0</v>
      </c>
      <c r="G40" s="36">
        <v>0</v>
      </c>
      <c r="H40" s="72">
        <v>0</v>
      </c>
      <c r="I40" s="11"/>
    </row>
    <row r="41" spans="1:9" s="10" customFormat="1" ht="112.5" hidden="1">
      <c r="A41" s="47"/>
      <c r="B41" s="82"/>
      <c r="C41" s="79" t="s">
        <v>196</v>
      </c>
      <c r="D41" s="24"/>
      <c r="E41" s="36"/>
      <c r="F41" s="36">
        <v>0</v>
      </c>
      <c r="G41" s="36">
        <v>0</v>
      </c>
      <c r="H41" s="72">
        <v>0</v>
      </c>
      <c r="I41" s="11"/>
    </row>
    <row r="42" spans="1:9" s="10" customFormat="1" ht="114.75" customHeight="1">
      <c r="A42" s="152"/>
      <c r="B42" s="99" t="s">
        <v>97</v>
      </c>
      <c r="C42" s="100"/>
      <c r="D42" s="28">
        <v>2912300</v>
      </c>
      <c r="E42" s="28">
        <v>2899022.56</v>
      </c>
      <c r="F42" s="53">
        <f>F43+F44+F45+F46+F47+F48+F49+F50+F51+F52</f>
        <v>1186500</v>
      </c>
      <c r="G42" s="53">
        <f t="shared" ref="G42:H42" si="7">G43+G44+G45+G46+G47+G48+G49+G50+G51+G52</f>
        <v>2686500</v>
      </c>
      <c r="H42" s="53">
        <f t="shared" si="7"/>
        <v>0</v>
      </c>
      <c r="I42" s="56"/>
    </row>
    <row r="43" spans="1:9" s="10" customFormat="1" ht="268.5" customHeight="1">
      <c r="A43" s="153"/>
      <c r="B43" s="127" t="s">
        <v>12</v>
      </c>
      <c r="C43" s="63" t="s">
        <v>146</v>
      </c>
      <c r="D43" s="28"/>
      <c r="E43" s="28"/>
      <c r="F43" s="53">
        <v>681800</v>
      </c>
      <c r="G43" s="43">
        <v>681800</v>
      </c>
      <c r="H43" s="53">
        <v>0</v>
      </c>
      <c r="I43" s="56" t="s">
        <v>211</v>
      </c>
    </row>
    <row r="44" spans="1:9" s="10" customFormat="1" ht="283.5" customHeight="1">
      <c r="A44" s="153"/>
      <c r="B44" s="128"/>
      <c r="C44" s="63" t="s">
        <v>148</v>
      </c>
      <c r="D44" s="28"/>
      <c r="E44" s="28"/>
      <c r="F44" s="53">
        <v>227300</v>
      </c>
      <c r="G44" s="43">
        <v>227300</v>
      </c>
      <c r="H44" s="53">
        <v>0</v>
      </c>
      <c r="I44" s="56" t="s">
        <v>210</v>
      </c>
    </row>
    <row r="45" spans="1:9" s="10" customFormat="1" ht="54.75" hidden="1" customHeight="1">
      <c r="A45" s="153"/>
      <c r="B45" s="128"/>
      <c r="C45" s="11" t="s">
        <v>151</v>
      </c>
      <c r="D45" s="28"/>
      <c r="E45" s="28"/>
      <c r="F45" s="53">
        <v>0</v>
      </c>
      <c r="G45" s="43">
        <v>0</v>
      </c>
      <c r="H45" s="53"/>
      <c r="I45" s="56"/>
    </row>
    <row r="46" spans="1:9" s="10" customFormat="1" ht="131.25" hidden="1">
      <c r="A46" s="153"/>
      <c r="B46" s="128"/>
      <c r="C46" s="81" t="s">
        <v>153</v>
      </c>
      <c r="D46" s="28"/>
      <c r="E46" s="28"/>
      <c r="F46" s="53">
        <v>0</v>
      </c>
      <c r="G46" s="43">
        <v>0</v>
      </c>
      <c r="H46" s="53"/>
      <c r="I46" s="56"/>
    </row>
    <row r="47" spans="1:9" s="10" customFormat="1" ht="168.75" hidden="1">
      <c r="A47" s="153"/>
      <c r="B47" s="128"/>
      <c r="C47" s="81" t="s">
        <v>155</v>
      </c>
      <c r="D47" s="28"/>
      <c r="E47" s="28"/>
      <c r="F47" s="53">
        <v>0</v>
      </c>
      <c r="G47" s="43">
        <v>0</v>
      </c>
      <c r="H47" s="53"/>
      <c r="I47" s="56"/>
    </row>
    <row r="48" spans="1:9" s="10" customFormat="1" ht="56.25">
      <c r="A48" s="153"/>
      <c r="B48" s="128"/>
      <c r="C48" s="81" t="s">
        <v>157</v>
      </c>
      <c r="D48" s="28"/>
      <c r="E48" s="28"/>
      <c r="F48" s="53">
        <v>49500</v>
      </c>
      <c r="G48" s="43">
        <v>49500</v>
      </c>
      <c r="H48" s="53">
        <v>0</v>
      </c>
      <c r="I48" s="56" t="s">
        <v>212</v>
      </c>
    </row>
    <row r="49" spans="1:9" s="10" customFormat="1" ht="93.75">
      <c r="A49" s="153"/>
      <c r="B49" s="128"/>
      <c r="C49" s="81" t="s">
        <v>159</v>
      </c>
      <c r="D49" s="28"/>
      <c r="E49" s="28"/>
      <c r="F49" s="53">
        <v>27900</v>
      </c>
      <c r="G49" s="43">
        <v>27900</v>
      </c>
      <c r="H49" s="53">
        <v>0</v>
      </c>
      <c r="I49" s="56" t="s">
        <v>213</v>
      </c>
    </row>
    <row r="50" spans="1:9" s="10" customFormat="1" ht="168.75">
      <c r="A50" s="153"/>
      <c r="B50" s="128"/>
      <c r="C50" s="11" t="s">
        <v>150</v>
      </c>
      <c r="D50" s="28"/>
      <c r="E50" s="28"/>
      <c r="F50" s="53">
        <v>200000</v>
      </c>
      <c r="G50" s="43">
        <v>200000</v>
      </c>
      <c r="H50" s="53">
        <v>0</v>
      </c>
      <c r="I50" s="56"/>
    </row>
    <row r="51" spans="1:9" s="10" customFormat="1" hidden="1">
      <c r="A51" s="153"/>
      <c r="B51" s="128"/>
      <c r="C51" s="62" t="s">
        <v>144</v>
      </c>
      <c r="D51" s="28"/>
      <c r="E51" s="28"/>
      <c r="F51" s="53">
        <v>0</v>
      </c>
      <c r="G51" s="43">
        <v>0</v>
      </c>
      <c r="H51" s="53">
        <v>0</v>
      </c>
      <c r="I51" s="56"/>
    </row>
    <row r="52" spans="1:9" s="10" customFormat="1" ht="37.5">
      <c r="A52" s="153"/>
      <c r="B52" s="128"/>
      <c r="C52" s="11" t="s">
        <v>145</v>
      </c>
      <c r="D52" s="28"/>
      <c r="E52" s="28"/>
      <c r="F52" s="53">
        <v>0</v>
      </c>
      <c r="G52" s="43">
        <v>1500000</v>
      </c>
      <c r="H52" s="53">
        <v>0</v>
      </c>
      <c r="I52" s="56"/>
    </row>
    <row r="53" spans="1:9" s="10" customFormat="1" ht="96" customHeight="1">
      <c r="A53" s="124"/>
      <c r="B53" s="114" t="s">
        <v>98</v>
      </c>
      <c r="C53" s="115"/>
      <c r="D53" s="28">
        <f>13004200+D66+D67</f>
        <v>321082200</v>
      </c>
      <c r="E53" s="28">
        <f>E66+E67+12824804.28</f>
        <v>240324804.28</v>
      </c>
      <c r="F53" s="42">
        <f>F54+F55+F56+F57+F58+F59+F60+F61+F62+F63+F64+F65+F66+F67</f>
        <v>29281800</v>
      </c>
      <c r="G53" s="42">
        <f t="shared" ref="G53" si="8">G54+G55+G56+G57+G58+G59+G60+G61+G62+G63+G64+G65+G66+G67</f>
        <v>35081000</v>
      </c>
      <c r="H53" s="42">
        <f>H54+H55+H56+H57+H58+H59+H60+H61+H62+H63+H64+H65+H66+H67+179.97</f>
        <v>1283459.97</v>
      </c>
      <c r="I53" s="70"/>
    </row>
    <row r="54" spans="1:9" s="10" customFormat="1" ht="131.25" hidden="1">
      <c r="A54" s="125"/>
      <c r="B54" s="127" t="s">
        <v>12</v>
      </c>
      <c r="C54" s="67" t="s">
        <v>161</v>
      </c>
      <c r="D54" s="64"/>
      <c r="E54" s="64"/>
      <c r="F54" s="65">
        <v>0</v>
      </c>
      <c r="G54" s="65">
        <v>0</v>
      </c>
      <c r="H54" s="73">
        <v>0</v>
      </c>
      <c r="I54" s="81"/>
    </row>
    <row r="55" spans="1:9" s="10" customFormat="1" ht="56.25" hidden="1">
      <c r="A55" s="125"/>
      <c r="B55" s="128"/>
      <c r="C55" s="67" t="s">
        <v>162</v>
      </c>
      <c r="D55" s="64"/>
      <c r="E55" s="64"/>
      <c r="F55" s="65">
        <v>0</v>
      </c>
      <c r="G55" s="65">
        <v>0</v>
      </c>
      <c r="H55" s="73">
        <v>0</v>
      </c>
      <c r="I55" s="81"/>
    </row>
    <row r="56" spans="1:9" s="10" customFormat="1" ht="75">
      <c r="A56" s="125"/>
      <c r="B56" s="128"/>
      <c r="C56" s="67" t="s">
        <v>163</v>
      </c>
      <c r="D56" s="64"/>
      <c r="E56" s="64"/>
      <c r="F56" s="65">
        <v>0</v>
      </c>
      <c r="G56" s="65">
        <v>2000000</v>
      </c>
      <c r="H56" s="90">
        <f>53280+500000</f>
        <v>553280</v>
      </c>
      <c r="I56" s="81"/>
    </row>
    <row r="57" spans="1:9" s="10" customFormat="1" ht="75">
      <c r="A57" s="125"/>
      <c r="B57" s="128"/>
      <c r="C57" s="67" t="s">
        <v>165</v>
      </c>
      <c r="D57" s="64"/>
      <c r="E57" s="64"/>
      <c r="F57" s="65">
        <v>0</v>
      </c>
      <c r="G57" s="65">
        <v>1810500</v>
      </c>
      <c r="H57" s="73">
        <v>0</v>
      </c>
      <c r="I57" s="66"/>
    </row>
    <row r="58" spans="1:9" s="10" customFormat="1" ht="56.25">
      <c r="A58" s="125"/>
      <c r="B58" s="128"/>
      <c r="C58" s="67" t="s">
        <v>164</v>
      </c>
      <c r="D58" s="64"/>
      <c r="E58" s="64"/>
      <c r="F58" s="65">
        <v>0</v>
      </c>
      <c r="G58" s="65">
        <v>1644600</v>
      </c>
      <c r="H58" s="73">
        <v>0</v>
      </c>
      <c r="I58" s="66"/>
    </row>
    <row r="59" spans="1:9" s="10" customFormat="1" ht="93.75">
      <c r="A59" s="125"/>
      <c r="B59" s="128"/>
      <c r="C59" s="67" t="s">
        <v>166</v>
      </c>
      <c r="D59" s="64"/>
      <c r="E59" s="64"/>
      <c r="F59" s="65">
        <v>2300000</v>
      </c>
      <c r="G59" s="65">
        <v>2100000</v>
      </c>
      <c r="H59" s="73">
        <v>0</v>
      </c>
      <c r="I59" s="81"/>
    </row>
    <row r="60" spans="1:9" s="10" customFormat="1" ht="106.5" customHeight="1">
      <c r="A60" s="125"/>
      <c r="B60" s="128"/>
      <c r="C60" s="67" t="s">
        <v>167</v>
      </c>
      <c r="D60" s="64"/>
      <c r="E60" s="64"/>
      <c r="F60" s="65">
        <v>0</v>
      </c>
      <c r="G60" s="65">
        <v>200000</v>
      </c>
      <c r="H60" s="73">
        <v>0</v>
      </c>
      <c r="I60" s="81"/>
    </row>
    <row r="61" spans="1:9" s="10" customFormat="1" ht="56.25">
      <c r="A61" s="125"/>
      <c r="B61" s="128"/>
      <c r="C61" s="67" t="s">
        <v>168</v>
      </c>
      <c r="D61" s="64"/>
      <c r="E61" s="64"/>
      <c r="F61" s="65">
        <v>0</v>
      </c>
      <c r="G61" s="65">
        <f>234000+110100</f>
        <v>344100</v>
      </c>
      <c r="H61" s="73">
        <v>0</v>
      </c>
      <c r="I61" s="11" t="s">
        <v>220</v>
      </c>
    </row>
    <row r="62" spans="1:9" s="10" customFormat="1" ht="56.25" hidden="1">
      <c r="A62" s="125"/>
      <c r="B62" s="128"/>
      <c r="C62" s="67" t="s">
        <v>170</v>
      </c>
      <c r="D62" s="64"/>
      <c r="E62" s="64"/>
      <c r="F62" s="65">
        <v>0</v>
      </c>
      <c r="G62" s="65">
        <v>0</v>
      </c>
      <c r="H62" s="73">
        <v>0</v>
      </c>
      <c r="I62" s="81"/>
    </row>
    <row r="63" spans="1:9" s="10" customFormat="1" ht="56.25" hidden="1">
      <c r="A63" s="125"/>
      <c r="B63" s="128"/>
      <c r="C63" s="67" t="s">
        <v>171</v>
      </c>
      <c r="D63" s="64"/>
      <c r="E63" s="64"/>
      <c r="F63" s="65">
        <v>0</v>
      </c>
      <c r="G63" s="65">
        <v>0</v>
      </c>
      <c r="H63" s="73">
        <v>0</v>
      </c>
      <c r="I63" s="81"/>
    </row>
    <row r="64" spans="1:9" s="10" customFormat="1" ht="37.5" hidden="1">
      <c r="A64" s="125"/>
      <c r="B64" s="128"/>
      <c r="C64" s="67" t="s">
        <v>172</v>
      </c>
      <c r="D64" s="64"/>
      <c r="E64" s="64"/>
      <c r="F64" s="65">
        <v>0</v>
      </c>
      <c r="G64" s="65">
        <v>0</v>
      </c>
      <c r="H64" s="73">
        <v>0</v>
      </c>
      <c r="I64" s="81"/>
    </row>
    <row r="65" spans="1:9" s="10" customFormat="1" ht="56.25" hidden="1">
      <c r="A65" s="125"/>
      <c r="B65" s="128"/>
      <c r="C65" s="67" t="s">
        <v>173</v>
      </c>
      <c r="D65" s="64"/>
      <c r="E65" s="64"/>
      <c r="F65" s="65">
        <v>0</v>
      </c>
      <c r="G65" s="65">
        <v>0</v>
      </c>
      <c r="H65" s="73">
        <v>0</v>
      </c>
      <c r="I65" s="81"/>
    </row>
    <row r="66" spans="1:9" s="10" customFormat="1" ht="60" customHeight="1">
      <c r="A66" s="125"/>
      <c r="B66" s="128"/>
      <c r="C66" s="68" t="s">
        <v>55</v>
      </c>
      <c r="D66" s="80">
        <v>5000000</v>
      </c>
      <c r="E66" s="80">
        <v>5000000</v>
      </c>
      <c r="F66" s="65">
        <v>7000000</v>
      </c>
      <c r="G66" s="65">
        <v>7000000</v>
      </c>
      <c r="H66" s="90">
        <v>730000</v>
      </c>
      <c r="I66" s="11"/>
    </row>
    <row r="67" spans="1:9" s="10" customFormat="1" ht="37.5">
      <c r="A67" s="126"/>
      <c r="B67" s="129"/>
      <c r="C67" s="69" t="s">
        <v>23</v>
      </c>
      <c r="D67" s="12">
        <f>60500000+242578000</f>
        <v>303078000</v>
      </c>
      <c r="E67" s="12">
        <f t="shared" ref="E67" si="9">60500000+162000000</f>
        <v>222500000</v>
      </c>
      <c r="F67" s="43">
        <v>19981800</v>
      </c>
      <c r="G67" s="43">
        <v>19981800</v>
      </c>
      <c r="H67" s="53">
        <v>0</v>
      </c>
      <c r="I67" s="11"/>
    </row>
    <row r="68" spans="1:9" s="10" customFormat="1" ht="86.25" customHeight="1">
      <c r="A68" s="124"/>
      <c r="B68" s="99" t="s">
        <v>41</v>
      </c>
      <c r="C68" s="100"/>
      <c r="D68" s="28">
        <f>2120000+160000+117000+72000</f>
        <v>2469000</v>
      </c>
      <c r="E68" s="28">
        <f t="shared" ref="E68" si="10">2120000+160000+117000+72000</f>
        <v>2469000</v>
      </c>
      <c r="F68" s="77">
        <f>F69+F70+F71+F72+F73+F74+F75+F76+F77+F78+F79+F80+F81+F82+F83+F84+F85+F86</f>
        <v>826830700</v>
      </c>
      <c r="G68" s="43">
        <f>G69+G70+G71+G72+G73+G74+G75+G76+G77+G78+G79+G80+G81+G82+G83+G84+G85+G86</f>
        <v>892898700</v>
      </c>
      <c r="H68" s="53">
        <f>H69+H70+H71+H72+H73+H74+H75+H76+H77+H78+H79+H80+H81+H82+H83+H84+H85+H86</f>
        <v>206935799.59999999</v>
      </c>
      <c r="I68" s="11"/>
    </row>
    <row r="69" spans="1:9" s="10" customFormat="1" ht="37.5">
      <c r="A69" s="125"/>
      <c r="B69" s="154" t="s">
        <v>135</v>
      </c>
      <c r="C69" s="11" t="s">
        <v>26</v>
      </c>
      <c r="D69" s="12">
        <v>100375000</v>
      </c>
      <c r="E69" s="12">
        <v>100375000</v>
      </c>
      <c r="F69" s="88">
        <v>132000000</v>
      </c>
      <c r="G69" s="88">
        <v>132000000</v>
      </c>
      <c r="H69" s="88">
        <f>8380+39416697.46</f>
        <v>39425077.460000001</v>
      </c>
      <c r="I69" s="13"/>
    </row>
    <row r="70" spans="1:9" s="10" customFormat="1" ht="37.5">
      <c r="A70" s="125"/>
      <c r="B70" s="155"/>
      <c r="C70" s="11" t="s">
        <v>8</v>
      </c>
      <c r="D70" s="12">
        <v>15000</v>
      </c>
      <c r="E70" s="12">
        <v>0</v>
      </c>
      <c r="F70" s="88">
        <v>30000</v>
      </c>
      <c r="G70" s="88">
        <v>30000</v>
      </c>
      <c r="H70" s="88">
        <v>0</v>
      </c>
      <c r="I70" s="13"/>
    </row>
    <row r="71" spans="1:9" s="10" customFormat="1" ht="37.5">
      <c r="A71" s="125"/>
      <c r="B71" s="155"/>
      <c r="C71" s="11" t="s">
        <v>9</v>
      </c>
      <c r="D71" s="12">
        <v>600000</v>
      </c>
      <c r="E71" s="12">
        <v>600000</v>
      </c>
      <c r="F71" s="88">
        <v>600000</v>
      </c>
      <c r="G71" s="88">
        <v>600000</v>
      </c>
      <c r="H71" s="88">
        <v>0</v>
      </c>
      <c r="I71" s="13"/>
    </row>
    <row r="72" spans="1:9" s="10" customFormat="1" ht="56.25">
      <c r="A72" s="125"/>
      <c r="B72" s="155"/>
      <c r="C72" s="23" t="s">
        <v>20</v>
      </c>
      <c r="D72" s="12">
        <f>221495400+183735800</f>
        <v>405231200</v>
      </c>
      <c r="E72" s="12">
        <f t="shared" ref="E72" si="11">221495400+183735800</f>
        <v>405231200</v>
      </c>
      <c r="F72" s="88">
        <f>289580700+153203200</f>
        <v>442783900</v>
      </c>
      <c r="G72" s="88">
        <f>289580700+153203200</f>
        <v>442783900</v>
      </c>
      <c r="H72" s="88">
        <f>76712517.1+40380086.85</f>
        <v>117092603.94999999</v>
      </c>
      <c r="I72" s="11" t="s">
        <v>215</v>
      </c>
    </row>
    <row r="73" spans="1:9" s="10" customFormat="1" ht="56.25">
      <c r="A73" s="125"/>
      <c r="B73" s="155"/>
      <c r="C73" s="22" t="s">
        <v>10</v>
      </c>
      <c r="D73" s="12">
        <f>44300+1000</f>
        <v>45300</v>
      </c>
      <c r="E73" s="12">
        <v>0</v>
      </c>
      <c r="F73" s="88">
        <v>53300</v>
      </c>
      <c r="G73" s="88">
        <v>53300</v>
      </c>
      <c r="H73" s="88">
        <v>0</v>
      </c>
      <c r="I73" s="11" t="s">
        <v>207</v>
      </c>
    </row>
    <row r="74" spans="1:9" s="10" customFormat="1" ht="56.25">
      <c r="A74" s="125"/>
      <c r="B74" s="155"/>
      <c r="C74" s="22" t="s">
        <v>56</v>
      </c>
      <c r="D74" s="12">
        <f>38313700+13169600</f>
        <v>51483300</v>
      </c>
      <c r="E74" s="12">
        <f t="shared" ref="E74" si="12">38313700+13169600</f>
        <v>51483300</v>
      </c>
      <c r="F74" s="88">
        <v>38313700</v>
      </c>
      <c r="G74" s="88">
        <v>38313700</v>
      </c>
      <c r="H74" s="88">
        <v>1732437</v>
      </c>
      <c r="I74" s="11"/>
    </row>
    <row r="75" spans="1:9" s="10" customFormat="1" ht="93.75">
      <c r="A75" s="125"/>
      <c r="B75" s="155"/>
      <c r="C75" s="34" t="s">
        <v>34</v>
      </c>
      <c r="D75" s="13">
        <v>38100</v>
      </c>
      <c r="E75" s="36">
        <v>12855.37</v>
      </c>
      <c r="F75" s="89">
        <v>25300</v>
      </c>
      <c r="G75" s="89">
        <v>25300</v>
      </c>
      <c r="H75" s="74">
        <v>0</v>
      </c>
      <c r="I75" s="11" t="s">
        <v>206</v>
      </c>
    </row>
    <row r="76" spans="1:9" s="10" customFormat="1" ht="112.5">
      <c r="A76" s="125"/>
      <c r="B76" s="155"/>
      <c r="C76" s="34" t="s">
        <v>35</v>
      </c>
      <c r="D76" s="24">
        <v>4036300</v>
      </c>
      <c r="E76" s="36">
        <v>3469266.14</v>
      </c>
      <c r="F76" s="89">
        <v>5012300</v>
      </c>
      <c r="G76" s="89">
        <v>5012300</v>
      </c>
      <c r="H76" s="89">
        <v>933758.79</v>
      </c>
      <c r="I76" s="11" t="s">
        <v>208</v>
      </c>
    </row>
    <row r="77" spans="1:9" s="10" customFormat="1" ht="75" hidden="1" customHeight="1">
      <c r="A77" s="125"/>
      <c r="B77" s="155"/>
      <c r="C77" s="34" t="s">
        <v>178</v>
      </c>
      <c r="D77" s="24"/>
      <c r="E77" s="36"/>
      <c r="F77" s="71">
        <v>0</v>
      </c>
      <c r="G77" s="89">
        <v>0</v>
      </c>
      <c r="H77" s="74">
        <v>0</v>
      </c>
      <c r="I77" s="11"/>
    </row>
    <row r="78" spans="1:9" s="10" customFormat="1" ht="56.25" hidden="1" customHeight="1">
      <c r="A78" s="125"/>
      <c r="B78" s="155"/>
      <c r="C78" s="34" t="s">
        <v>179</v>
      </c>
      <c r="D78" s="24"/>
      <c r="E78" s="36"/>
      <c r="F78" s="71">
        <v>0</v>
      </c>
      <c r="G78" s="89">
        <v>0</v>
      </c>
      <c r="H78" s="74">
        <v>0</v>
      </c>
      <c r="I78" s="11"/>
    </row>
    <row r="79" spans="1:9" s="10" customFormat="1" ht="56.25" hidden="1" customHeight="1">
      <c r="A79" s="125"/>
      <c r="B79" s="155"/>
      <c r="C79" s="34" t="s">
        <v>180</v>
      </c>
      <c r="D79" s="24"/>
      <c r="E79" s="36"/>
      <c r="F79" s="71">
        <v>0</v>
      </c>
      <c r="G79" s="89">
        <v>0</v>
      </c>
      <c r="H79" s="74">
        <v>0</v>
      </c>
      <c r="I79" s="11"/>
    </row>
    <row r="80" spans="1:9" s="10" customFormat="1" ht="56.25">
      <c r="A80" s="125"/>
      <c r="B80" s="155"/>
      <c r="C80" s="34" t="s">
        <v>183</v>
      </c>
      <c r="D80" s="24"/>
      <c r="E80" s="36"/>
      <c r="F80" s="71">
        <v>0</v>
      </c>
      <c r="G80" s="89">
        <v>110000</v>
      </c>
      <c r="H80" s="74">
        <v>0</v>
      </c>
      <c r="I80" s="11"/>
    </row>
    <row r="81" spans="1:9" s="10" customFormat="1" ht="93.75" hidden="1">
      <c r="A81" s="125"/>
      <c r="B81" s="155"/>
      <c r="C81" s="34" t="s">
        <v>184</v>
      </c>
      <c r="D81" s="24"/>
      <c r="E81" s="36"/>
      <c r="F81" s="71">
        <v>0</v>
      </c>
      <c r="G81" s="89">
        <v>0</v>
      </c>
      <c r="H81" s="74">
        <v>0</v>
      </c>
      <c r="I81" s="11"/>
    </row>
    <row r="82" spans="1:9" s="10" customFormat="1" ht="93.75">
      <c r="A82" s="125"/>
      <c r="B82" s="155"/>
      <c r="C82" s="34" t="s">
        <v>185</v>
      </c>
      <c r="D82" s="24"/>
      <c r="E82" s="36"/>
      <c r="F82" s="71">
        <v>0</v>
      </c>
      <c r="G82" s="89">
        <v>20000</v>
      </c>
      <c r="H82" s="74">
        <v>0</v>
      </c>
      <c r="I82" s="11"/>
    </row>
    <row r="83" spans="1:9" s="10" customFormat="1" ht="62.25" hidden="1" customHeight="1">
      <c r="A83" s="125"/>
      <c r="B83" s="155"/>
      <c r="C83" s="34" t="s">
        <v>186</v>
      </c>
      <c r="D83" s="24"/>
      <c r="E83" s="36"/>
      <c r="F83" s="71">
        <v>0</v>
      </c>
      <c r="G83" s="89">
        <v>0</v>
      </c>
      <c r="H83" s="74">
        <v>0</v>
      </c>
      <c r="I83" s="11"/>
    </row>
    <row r="84" spans="1:9" s="10" customFormat="1" ht="131.25">
      <c r="A84" s="126"/>
      <c r="B84" s="155"/>
      <c r="C84" s="34" t="s">
        <v>36</v>
      </c>
      <c r="D84" s="24">
        <v>188484500</v>
      </c>
      <c r="E84" s="36">
        <v>188484500</v>
      </c>
      <c r="F84" s="89">
        <v>208012200</v>
      </c>
      <c r="G84" s="89">
        <v>208012200</v>
      </c>
      <c r="H84" s="89">
        <v>45734694.520000003</v>
      </c>
      <c r="I84" s="11" t="s">
        <v>209</v>
      </c>
    </row>
    <row r="85" spans="1:9" s="10" customFormat="1" ht="112.5" hidden="1">
      <c r="A85" s="32"/>
      <c r="B85" s="155"/>
      <c r="C85" s="27" t="s">
        <v>188</v>
      </c>
      <c r="D85" s="12"/>
      <c r="E85" s="28"/>
      <c r="F85" s="43">
        <v>0</v>
      </c>
      <c r="G85" s="88">
        <v>0</v>
      </c>
      <c r="H85" s="53">
        <v>0</v>
      </c>
      <c r="I85" s="13"/>
    </row>
    <row r="86" spans="1:9" s="10" customFormat="1" ht="93.75" customHeight="1">
      <c r="A86" s="32"/>
      <c r="B86" s="156"/>
      <c r="C86" s="27" t="s">
        <v>217</v>
      </c>
      <c r="D86" s="12"/>
      <c r="E86" s="28"/>
      <c r="F86" s="43">
        <v>0</v>
      </c>
      <c r="G86" s="88">
        <v>65938000</v>
      </c>
      <c r="H86" s="88">
        <v>2017227.88</v>
      </c>
      <c r="I86" s="11" t="s">
        <v>218</v>
      </c>
    </row>
    <row r="87" spans="1:9" s="10" customFormat="1" ht="66.75" customHeight="1">
      <c r="A87" s="38">
        <v>5</v>
      </c>
      <c r="B87" s="101" t="s">
        <v>22</v>
      </c>
      <c r="C87" s="102"/>
      <c r="D87" s="9">
        <v>33309103</v>
      </c>
      <c r="E87" s="9">
        <v>33309102.949999999</v>
      </c>
      <c r="F87" s="51">
        <v>47483700</v>
      </c>
      <c r="G87" s="51">
        <v>47483700</v>
      </c>
      <c r="H87" s="51">
        <v>11828817.02</v>
      </c>
      <c r="I87" s="13"/>
    </row>
    <row r="88" spans="1:9" s="10" customFormat="1" ht="144" customHeight="1">
      <c r="A88" s="39">
        <v>6</v>
      </c>
      <c r="B88" s="148" t="s">
        <v>43</v>
      </c>
      <c r="C88" s="148"/>
      <c r="D88" s="40">
        <v>3152500</v>
      </c>
      <c r="E88" s="40">
        <v>3130229.34</v>
      </c>
      <c r="F88" s="54">
        <v>2937700</v>
      </c>
      <c r="G88" s="54">
        <v>2937700</v>
      </c>
      <c r="H88" s="54">
        <v>570737.13</v>
      </c>
      <c r="I88" s="13"/>
    </row>
    <row r="89" spans="1:9" s="10" customFormat="1" ht="68.25" customHeight="1">
      <c r="A89" s="39">
        <v>7</v>
      </c>
      <c r="B89" s="149" t="s">
        <v>102</v>
      </c>
      <c r="C89" s="149"/>
      <c r="D89" s="41">
        <v>2633900</v>
      </c>
      <c r="E89" s="41">
        <v>1740839.97</v>
      </c>
      <c r="F89" s="54">
        <v>0</v>
      </c>
      <c r="G89" s="54">
        <v>0</v>
      </c>
      <c r="H89" s="54">
        <v>0</v>
      </c>
      <c r="I89" s="11"/>
    </row>
    <row r="90" spans="1:9" s="10" customFormat="1" ht="60" customHeight="1">
      <c r="A90" s="39">
        <v>8</v>
      </c>
      <c r="B90" s="144" t="s">
        <v>127</v>
      </c>
      <c r="C90" s="144"/>
      <c r="D90" s="41">
        <v>100000</v>
      </c>
      <c r="E90" s="41">
        <v>100000</v>
      </c>
      <c r="F90" s="54">
        <v>0</v>
      </c>
      <c r="G90" s="54">
        <v>700000</v>
      </c>
      <c r="H90" s="54">
        <v>700000</v>
      </c>
      <c r="I90" s="11" t="s">
        <v>219</v>
      </c>
    </row>
    <row r="91" spans="1:9" s="10" customFormat="1" ht="60" customHeight="1">
      <c r="A91" s="39">
        <v>9</v>
      </c>
      <c r="B91" s="157" t="s">
        <v>194</v>
      </c>
      <c r="C91" s="158"/>
      <c r="D91" s="41"/>
      <c r="E91" s="41"/>
      <c r="F91" s="54">
        <v>0</v>
      </c>
      <c r="G91" s="54">
        <v>0</v>
      </c>
      <c r="H91" s="54">
        <v>0</v>
      </c>
      <c r="I91" s="11"/>
    </row>
    <row r="92" spans="1:9" s="10" customFormat="1" ht="60" customHeight="1">
      <c r="A92" s="39">
        <v>10</v>
      </c>
      <c r="B92" s="157" t="s">
        <v>221</v>
      </c>
      <c r="C92" s="158"/>
      <c r="D92" s="41"/>
      <c r="E92" s="41"/>
      <c r="F92" s="54">
        <v>0</v>
      </c>
      <c r="G92" s="54">
        <v>3700000</v>
      </c>
      <c r="H92" s="54">
        <v>3724.95</v>
      </c>
      <c r="I92" s="11"/>
    </row>
    <row r="93" spans="1:9" s="10" customFormat="1" ht="39" customHeight="1">
      <c r="A93" s="31"/>
      <c r="B93" s="132" t="s">
        <v>58</v>
      </c>
      <c r="C93" s="133"/>
      <c r="D93" s="58" t="e">
        <f>D4+D8+D14+D20+#REF!+D87+D88+D89+D90</f>
        <v>#REF!</v>
      </c>
      <c r="E93" s="58" t="e">
        <f>E4+E8+E14+E20+#REF!+E87+E88+E89+E90</f>
        <v>#REF!</v>
      </c>
      <c r="F93" s="59">
        <f>F4+F8+F14+F20+F87+F88+F89+F90+F91+F92</f>
        <v>3094867700</v>
      </c>
      <c r="G93" s="59">
        <f>G4+G8+G14+G20+G87+G88+G89+G90+G91+G92</f>
        <v>3182899700</v>
      </c>
      <c r="H93" s="59">
        <f t="shared" ref="H93" si="13">H4+H8+H14+H20+H87+H88+H89+H90+H91+H92</f>
        <v>738289113.91999996</v>
      </c>
      <c r="I93" s="35"/>
    </row>
    <row r="94" spans="1:9" s="10" customFormat="1">
      <c r="C94" s="29"/>
    </row>
    <row r="95" spans="1:9" s="10" customFormat="1"/>
    <row r="96" spans="1:9" s="10" customFormat="1"/>
    <row r="107" spans="3:3">
      <c r="C107" s="4"/>
    </row>
    <row r="109" spans="3:3">
      <c r="C109" s="4"/>
    </row>
    <row r="706" spans="5:8">
      <c r="E706" s="2"/>
      <c r="F706" s="2"/>
      <c r="G706" s="2"/>
      <c r="H706" s="2"/>
    </row>
  </sheetData>
  <mergeCells count="44">
    <mergeCell ref="B87:C87"/>
    <mergeCell ref="B88:C88"/>
    <mergeCell ref="B89:C89"/>
    <mergeCell ref="B90:C90"/>
    <mergeCell ref="B93:C93"/>
    <mergeCell ref="B91:C91"/>
    <mergeCell ref="B92:C92"/>
    <mergeCell ref="A53:A67"/>
    <mergeCell ref="B53:C53"/>
    <mergeCell ref="B54:B67"/>
    <mergeCell ref="A68:A84"/>
    <mergeCell ref="B68:C68"/>
    <mergeCell ref="B69:B86"/>
    <mergeCell ref="B26:C26"/>
    <mergeCell ref="B27:C27"/>
    <mergeCell ref="B28:B39"/>
    <mergeCell ref="A42:A52"/>
    <mergeCell ref="B42:C42"/>
    <mergeCell ref="B43:B52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</mergeCells>
  <pageMargins left="0.15748031496062992" right="0.15748031496062992" top="0.19685039370078741" bottom="0.19685039370078741" header="0.15748031496062992" footer="0.15748031496062992"/>
  <pageSetup paperSize="9" scale="58" fitToHeight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6"/>
  <sheetViews>
    <sheetView tabSelected="1" view="pageBreakPreview" topLeftCell="C1" zoomScale="60" zoomScaleNormal="60" workbookViewId="0">
      <selection activeCell="I4" sqref="I4:I7"/>
    </sheetView>
  </sheetViews>
  <sheetFormatPr defaultColWidth="0" defaultRowHeight="18.75"/>
  <cols>
    <col min="1" max="1" width="5.140625" style="1" customWidth="1"/>
    <col min="2" max="2" width="12.28515625" style="1" customWidth="1"/>
    <col min="3" max="3" width="79.42578125" style="3" customWidth="1"/>
    <col min="4" max="4" width="42.28515625" style="1" hidden="1" customWidth="1"/>
    <col min="5" max="5" width="37.5703125" style="1" hidden="1" customWidth="1"/>
    <col min="6" max="8" width="37.5703125" style="1" customWidth="1"/>
    <col min="9" max="9" width="32" style="1" customWidth="1"/>
    <col min="10" max="10" width="20.7109375" style="1" customWidth="1"/>
    <col min="11" max="225" width="8.85546875" style="1" customWidth="1"/>
    <col min="226" max="226" width="2.5703125" style="1" customWidth="1"/>
    <col min="227" max="227" width="46.85546875" style="1" customWidth="1"/>
    <col min="228" max="228" width="13.7109375" style="1" customWidth="1"/>
    <col min="229" max="235" width="0" style="1" hidden="1" customWidth="1"/>
    <col min="236" max="236" width="15.28515625" style="1" customWidth="1"/>
    <col min="237" max="16384" width="0" style="1" hidden="1"/>
  </cols>
  <sheetData>
    <row r="1" spans="1:10" ht="27.4" customHeight="1">
      <c r="C1" s="5" t="s">
        <v>199</v>
      </c>
    </row>
    <row r="2" spans="1:10" s="6" customFormat="1" ht="139.5" customHeight="1">
      <c r="A2" s="130"/>
      <c r="B2" s="95" t="s">
        <v>0</v>
      </c>
      <c r="C2" s="96"/>
      <c r="D2" s="91" t="s">
        <v>14</v>
      </c>
      <c r="E2" s="93" t="s">
        <v>84</v>
      </c>
      <c r="F2" s="91" t="s">
        <v>198</v>
      </c>
      <c r="G2" s="91" t="s">
        <v>228</v>
      </c>
      <c r="H2" s="93" t="s">
        <v>227</v>
      </c>
      <c r="I2" s="134" t="s">
        <v>59</v>
      </c>
    </row>
    <row r="3" spans="1:10" s="6" customFormat="1" ht="8.25" customHeight="1">
      <c r="A3" s="131"/>
      <c r="B3" s="97"/>
      <c r="C3" s="98"/>
      <c r="D3" s="92"/>
      <c r="E3" s="94"/>
      <c r="F3" s="92"/>
      <c r="G3" s="92"/>
      <c r="H3" s="94"/>
      <c r="I3" s="135"/>
    </row>
    <row r="4" spans="1:10" s="10" customFormat="1" ht="43.5" customHeight="1">
      <c r="A4" s="124">
        <v>1</v>
      </c>
      <c r="B4" s="101" t="s">
        <v>7</v>
      </c>
      <c r="C4" s="102"/>
      <c r="D4" s="9">
        <f>D5+D6+D7</f>
        <v>40272408</v>
      </c>
      <c r="E4" s="9">
        <f t="shared" ref="E4:H4" si="0">E5+E6+E7</f>
        <v>40033747.399999999</v>
      </c>
      <c r="F4" s="51">
        <f t="shared" si="0"/>
        <v>38043800</v>
      </c>
      <c r="G4" s="51">
        <f t="shared" si="0"/>
        <v>37713800</v>
      </c>
      <c r="H4" s="51">
        <f t="shared" si="0"/>
        <v>17934302.75</v>
      </c>
      <c r="I4" s="111" t="s">
        <v>226</v>
      </c>
    </row>
    <row r="5" spans="1:10" s="10" customFormat="1" ht="26.25" customHeight="1">
      <c r="A5" s="125"/>
      <c r="B5" s="105" t="s">
        <v>50</v>
      </c>
      <c r="C5" s="11" t="s">
        <v>51</v>
      </c>
      <c r="D5" s="12">
        <f>24067000+6926900</f>
        <v>30993900</v>
      </c>
      <c r="E5" s="12">
        <f>24064700+6908629.71</f>
        <v>30973329.710000001</v>
      </c>
      <c r="F5" s="35">
        <v>34423900</v>
      </c>
      <c r="G5" s="35">
        <f>26643900+7780000</f>
        <v>34423900</v>
      </c>
      <c r="H5" s="87">
        <f>12351314.49+3594999.96</f>
        <v>15946314.449999999</v>
      </c>
      <c r="I5" s="112"/>
    </row>
    <row r="6" spans="1:10" s="10" customFormat="1" ht="26.25" customHeight="1">
      <c r="A6" s="125"/>
      <c r="B6" s="106"/>
      <c r="C6" s="11" t="s">
        <v>17</v>
      </c>
      <c r="D6" s="12">
        <f>478800+804800+60600</f>
        <v>1344200</v>
      </c>
      <c r="E6" s="12">
        <f>478800+804800+60569</f>
        <v>1344169</v>
      </c>
      <c r="F6" s="35">
        <v>168600</v>
      </c>
      <c r="G6" s="35">
        <f>78600+80000+10000</f>
        <v>168600</v>
      </c>
      <c r="H6" s="87">
        <v>14754.47</v>
      </c>
      <c r="I6" s="112"/>
    </row>
    <row r="7" spans="1:10" s="10" customFormat="1" ht="27" customHeight="1">
      <c r="A7" s="126"/>
      <c r="B7" s="107"/>
      <c r="C7" s="11" t="s">
        <v>52</v>
      </c>
      <c r="D7" s="12">
        <f>40272408-D5-D6</f>
        <v>7934308</v>
      </c>
      <c r="E7" s="12">
        <f>2672836.54+6256890.28-E6+121685+7000+2005.87</f>
        <v>7716248.6900000004</v>
      </c>
      <c r="F7" s="35">
        <v>3451300</v>
      </c>
      <c r="G7" s="35">
        <f>1844600+92000+250000+300000+519700+115000</f>
        <v>3121300</v>
      </c>
      <c r="H7" s="87">
        <f>1730917.63+227316.2+15000</f>
        <v>1973233.8299999998</v>
      </c>
      <c r="I7" s="113"/>
    </row>
    <row r="8" spans="1:10" s="10" customFormat="1" ht="30" customHeight="1">
      <c r="A8" s="124">
        <v>2</v>
      </c>
      <c r="B8" s="103" t="s">
        <v>6</v>
      </c>
      <c r="C8" s="104"/>
      <c r="D8" s="9">
        <f>D9+D10+D11+D12+D13</f>
        <v>934259325</v>
      </c>
      <c r="E8" s="9">
        <f t="shared" ref="E8:H8" si="1">E9+E10+E11+E12+E13</f>
        <v>934075828.82000005</v>
      </c>
      <c r="F8" s="51">
        <f t="shared" si="1"/>
        <v>1057470000</v>
      </c>
      <c r="G8" s="51">
        <f t="shared" si="1"/>
        <v>1065746900</v>
      </c>
      <c r="H8" s="51">
        <f t="shared" si="1"/>
        <v>537481200.3499999</v>
      </c>
      <c r="I8" s="111" t="s">
        <v>225</v>
      </c>
    </row>
    <row r="9" spans="1:10" s="10" customFormat="1" ht="32.25" customHeight="1">
      <c r="A9" s="125"/>
      <c r="B9" s="108" t="s">
        <v>50</v>
      </c>
      <c r="C9" s="11" t="s">
        <v>53</v>
      </c>
      <c r="D9" s="12">
        <f>21012400+63306378+440705135+136968823+20293504+6983300</f>
        <v>689269540</v>
      </c>
      <c r="E9" s="44">
        <f>21012400+6972985.98+63306378+20293504+440705135+136968823</f>
        <v>689259225.98000002</v>
      </c>
      <c r="F9" s="55">
        <v>808194600</v>
      </c>
      <c r="G9" s="55">
        <v>812434700</v>
      </c>
      <c r="H9" s="87">
        <f>402023400+15653876.83+4656406.84</f>
        <v>422333683.66999996</v>
      </c>
      <c r="I9" s="112"/>
    </row>
    <row r="10" spans="1:10" s="10" customFormat="1" ht="35.25" customHeight="1">
      <c r="A10" s="125"/>
      <c r="B10" s="109"/>
      <c r="C10" s="11" t="s">
        <v>13</v>
      </c>
      <c r="D10" s="12">
        <f>212700+279500+25300+7465236+350+3159934+1664767+40343013+1398774+45227988+7942599</f>
        <v>107720161</v>
      </c>
      <c r="E10" s="44">
        <f>204261+273807+23977+7465236+3500+3159934+1664767+40343013+1398774+45227988+7942599-50000</f>
        <v>107657856</v>
      </c>
      <c r="F10" s="55">
        <v>116183300</v>
      </c>
      <c r="G10" s="55">
        <v>116153300</v>
      </c>
      <c r="H10" s="87">
        <v>59248468</v>
      </c>
      <c r="I10" s="112"/>
    </row>
    <row r="11" spans="1:10" s="10" customFormat="1" ht="32.25" customHeight="1">
      <c r="A11" s="125"/>
      <c r="B11" s="109"/>
      <c r="C11" s="11" t="s">
        <v>46</v>
      </c>
      <c r="D11" s="12">
        <f>10202225+73960812</f>
        <v>84163037</v>
      </c>
      <c r="E11" s="44">
        <f t="shared" ref="E11" si="2">10202225+73960812</f>
        <v>84163037</v>
      </c>
      <c r="F11" s="55">
        <v>91638300</v>
      </c>
      <c r="G11" s="55">
        <v>90850000</v>
      </c>
      <c r="H11" s="87">
        <v>37507295</v>
      </c>
      <c r="I11" s="112"/>
    </row>
    <row r="12" spans="1:10" s="10" customFormat="1" ht="32.25" customHeight="1">
      <c r="A12" s="125"/>
      <c r="B12" s="109"/>
      <c r="C12" s="11" t="s">
        <v>47</v>
      </c>
      <c r="D12" s="12">
        <f>7368140+765458</f>
        <v>8133598</v>
      </c>
      <c r="E12" s="44">
        <f t="shared" ref="E12" si="3">7368140+765458</f>
        <v>8133598</v>
      </c>
      <c r="F12" s="55">
        <f>755800+7236200</f>
        <v>7992000</v>
      </c>
      <c r="G12" s="55">
        <f>755800+7236200</f>
        <v>7992000</v>
      </c>
      <c r="H12" s="87">
        <v>4705200</v>
      </c>
      <c r="I12" s="112"/>
    </row>
    <row r="13" spans="1:10" s="10" customFormat="1" ht="45" customHeight="1">
      <c r="A13" s="126"/>
      <c r="B13" s="110"/>
      <c r="C13" s="11" t="s">
        <v>48</v>
      </c>
      <c r="D13" s="12">
        <f>934259325-D9-D10-D11-D12</f>
        <v>44972989</v>
      </c>
      <c r="E13" s="12">
        <f>21012400+114489.69+6972985.98+2839403.13+111790542.97+791045650.19+4300+294366.91+1512+177.95-E9-E10-E11-E12</f>
        <v>44862111.840000033</v>
      </c>
      <c r="F13" s="35">
        <v>33461800</v>
      </c>
      <c r="G13" s="35">
        <v>38316900</v>
      </c>
      <c r="H13" s="87">
        <v>13686553.68</v>
      </c>
      <c r="I13" s="113"/>
    </row>
    <row r="14" spans="1:10" s="10" customFormat="1">
      <c r="A14" s="124">
        <v>3</v>
      </c>
      <c r="B14" s="30"/>
      <c r="C14" s="8" t="s">
        <v>5</v>
      </c>
      <c r="D14" s="9">
        <f>D15+D16+D17+D18+D19</f>
        <v>70204700</v>
      </c>
      <c r="E14" s="9">
        <f t="shared" ref="E14:G14" si="4">E15+E16+E17+E18+E19</f>
        <v>69101984.709999993</v>
      </c>
      <c r="F14" s="51">
        <f t="shared" si="4"/>
        <v>66063200</v>
      </c>
      <c r="G14" s="51">
        <f t="shared" si="4"/>
        <v>74635400</v>
      </c>
      <c r="H14" s="51">
        <f>H15+H16+H17+H18+H19</f>
        <v>35470596.379999995</v>
      </c>
      <c r="I14" s="136" t="s">
        <v>62</v>
      </c>
    </row>
    <row r="15" spans="1:10" s="10" customFormat="1" ht="18.75" customHeight="1">
      <c r="A15" s="125"/>
      <c r="B15" s="111" t="s">
        <v>12</v>
      </c>
      <c r="C15" s="11" t="s">
        <v>54</v>
      </c>
      <c r="D15" s="12">
        <f>40043700+12006400</f>
        <v>52050100</v>
      </c>
      <c r="E15" s="12">
        <f>40043699.81+11917918.37</f>
        <v>51961618.18</v>
      </c>
      <c r="F15" s="35">
        <v>53774100</v>
      </c>
      <c r="G15" s="35">
        <f>43624000+12758300</f>
        <v>56382300</v>
      </c>
      <c r="H15" s="87">
        <f>21653062.49+6466769.2</f>
        <v>28119831.689999998</v>
      </c>
      <c r="I15" s="137"/>
      <c r="J15" s="20"/>
    </row>
    <row r="16" spans="1:10" s="10" customFormat="1" ht="25.5" customHeight="1">
      <c r="A16" s="125"/>
      <c r="B16" s="112"/>
      <c r="C16" s="11" t="s">
        <v>37</v>
      </c>
      <c r="D16" s="12">
        <f>2816100+1303800+140000</f>
        <v>4259900</v>
      </c>
      <c r="E16" s="12">
        <v>3601351.58</v>
      </c>
      <c r="F16" s="35">
        <v>4745000</v>
      </c>
      <c r="G16" s="35">
        <f>2935000+1630000+180000</f>
        <v>4745000</v>
      </c>
      <c r="H16" s="87">
        <v>2030668.2</v>
      </c>
      <c r="I16" s="137"/>
    </row>
    <row r="17" spans="1:10" s="10" customFormat="1" ht="22.5" customHeight="1">
      <c r="A17" s="125"/>
      <c r="B17" s="112"/>
      <c r="C17" s="11" t="s">
        <v>49</v>
      </c>
      <c r="D17" s="12">
        <f>69554700-D15-D16</f>
        <v>13244700</v>
      </c>
      <c r="E17" s="12">
        <f>38000+16159209.16+166000+125815.02+1342.35-E16</f>
        <v>12889014.949999999</v>
      </c>
      <c r="F17" s="35">
        <v>7044100</v>
      </c>
      <c r="G17" s="35">
        <f>7044100+6464000</f>
        <v>13508100</v>
      </c>
      <c r="H17" s="87">
        <v>5320096.49</v>
      </c>
      <c r="I17" s="137"/>
    </row>
    <row r="18" spans="1:10" s="10" customFormat="1" ht="61.5" customHeight="1">
      <c r="A18" s="125"/>
      <c r="B18" s="112"/>
      <c r="C18" s="37" t="s">
        <v>15</v>
      </c>
      <c r="D18" s="12">
        <v>500000</v>
      </c>
      <c r="E18" s="12">
        <v>500000</v>
      </c>
      <c r="F18" s="35">
        <v>500000</v>
      </c>
      <c r="G18" s="35">
        <v>0</v>
      </c>
      <c r="H18" s="87">
        <v>0</v>
      </c>
      <c r="I18" s="137"/>
    </row>
    <row r="19" spans="1:10" s="10" customFormat="1" ht="52.5" customHeight="1">
      <c r="A19" s="126"/>
      <c r="B19" s="113"/>
      <c r="C19" s="7" t="s">
        <v>16</v>
      </c>
      <c r="D19" s="12">
        <v>150000</v>
      </c>
      <c r="E19" s="12">
        <v>150000</v>
      </c>
      <c r="F19" s="35">
        <v>0</v>
      </c>
      <c r="G19" s="35">
        <v>0</v>
      </c>
      <c r="H19" s="35">
        <v>0</v>
      </c>
      <c r="I19" s="138"/>
    </row>
    <row r="20" spans="1:10" s="17" customFormat="1">
      <c r="A20" s="30">
        <v>4</v>
      </c>
      <c r="B20" s="120" t="s">
        <v>45</v>
      </c>
      <c r="C20" s="121"/>
      <c r="D20" s="9">
        <f>D22+D23+D24+D25+D26+D27+D42+D53+D68+D69+D70+D71+D72+D73+D74+D75+D76+D84+D28+D29+D30+D31+D32+D33+D39</f>
        <v>1459717911.8</v>
      </c>
      <c r="E20" s="9">
        <f>E22+E23+E24+E25+E26+E27+E42+E53+E68+E69+E70+E71+E72+E73+E74+E75+E76+E84+E28+E29+E30+E31+E32+E33+E39</f>
        <v>1373880572.27</v>
      </c>
      <c r="F20" s="51">
        <f>F22+F23+F24+F25+F26+F27+F42+F53+F68</f>
        <v>1882869300</v>
      </c>
      <c r="G20" s="51">
        <f t="shared" ref="G20:H20" si="5">G22+G23+G24+G25+G26+G27+G42+G53+G68</f>
        <v>1954325200</v>
      </c>
      <c r="H20" s="51">
        <f t="shared" si="5"/>
        <v>849310995.34000003</v>
      </c>
      <c r="I20" s="49"/>
    </row>
    <row r="21" spans="1:10" s="17" customFormat="1">
      <c r="A21" s="33"/>
      <c r="B21" s="122" t="s">
        <v>12</v>
      </c>
      <c r="C21" s="123"/>
      <c r="D21" s="19"/>
      <c r="E21" s="19"/>
      <c r="F21" s="52"/>
      <c r="G21" s="52"/>
      <c r="H21" s="52"/>
      <c r="I21" s="49"/>
    </row>
    <row r="22" spans="1:10" s="17" customFormat="1" ht="87" customHeight="1">
      <c r="A22" s="33"/>
      <c r="B22" s="118" t="s">
        <v>63</v>
      </c>
      <c r="C22" s="119"/>
      <c r="D22" s="14">
        <v>255000</v>
      </c>
      <c r="E22" s="14">
        <v>255000</v>
      </c>
      <c r="F22" s="53">
        <v>0</v>
      </c>
      <c r="G22" s="53">
        <v>0</v>
      </c>
      <c r="H22" s="53">
        <v>0</v>
      </c>
      <c r="I22" s="49" t="s">
        <v>64</v>
      </c>
    </row>
    <row r="23" spans="1:10" s="17" customFormat="1" ht="102.75" customHeight="1">
      <c r="A23" s="33"/>
      <c r="B23" s="116" t="s">
        <v>87</v>
      </c>
      <c r="C23" s="117"/>
      <c r="D23" s="43">
        <v>95500</v>
      </c>
      <c r="E23" s="14">
        <v>95500</v>
      </c>
      <c r="F23" s="53">
        <v>78300</v>
      </c>
      <c r="G23" s="53">
        <v>78300</v>
      </c>
      <c r="H23" s="88">
        <v>23100</v>
      </c>
      <c r="I23" s="49" t="s">
        <v>66</v>
      </c>
    </row>
    <row r="24" spans="1:10" s="17" customFormat="1" ht="61.5" customHeight="1">
      <c r="A24" s="33"/>
      <c r="B24" s="116" t="s">
        <v>88</v>
      </c>
      <c r="C24" s="117"/>
      <c r="D24" s="14">
        <f>91500+70000+484000</f>
        <v>645500</v>
      </c>
      <c r="E24" s="14">
        <f>91500+20300+483896.7</f>
        <v>595696.69999999995</v>
      </c>
      <c r="F24" s="53">
        <f>1831300+95000</f>
        <v>1926300</v>
      </c>
      <c r="G24" s="88">
        <f>1831300+95000+64000</f>
        <v>1990300</v>
      </c>
      <c r="H24" s="88">
        <f>436000+141000+138066</f>
        <v>715066</v>
      </c>
      <c r="I24" s="49"/>
    </row>
    <row r="25" spans="1:10" s="17" customFormat="1" ht="64.5" customHeight="1">
      <c r="A25" s="33"/>
      <c r="B25" s="99" t="s">
        <v>42</v>
      </c>
      <c r="C25" s="100"/>
      <c r="D25" s="28">
        <f>86902500-D14+194691700+144000</f>
        <v>211533500</v>
      </c>
      <c r="E25" s="28">
        <f>14568475.85+174775971.45+919071+4424318.34+50000+94000+425990+378974+300000+425153+31360+156.8+5403756.12+9260804.12</f>
        <v>211058030.68000001</v>
      </c>
      <c r="F25" s="43">
        <f>172038600+530300+86191200-66063200</f>
        <v>192696900</v>
      </c>
      <c r="G25" s="43">
        <f>172038600+18551800-238600</f>
        <v>190351800</v>
      </c>
      <c r="H25" s="88">
        <v>66803096.25</v>
      </c>
      <c r="I25" s="11" t="s">
        <v>230</v>
      </c>
      <c r="J25" s="20"/>
    </row>
    <row r="26" spans="1:10" s="17" customFormat="1" ht="109.5" customHeight="1">
      <c r="A26" s="33"/>
      <c r="B26" s="99" t="s">
        <v>89</v>
      </c>
      <c r="C26" s="100"/>
      <c r="D26" s="28">
        <v>4637300</v>
      </c>
      <c r="E26" s="28">
        <f>4029000+608300</f>
        <v>4637300</v>
      </c>
      <c r="F26" s="43">
        <v>3284700</v>
      </c>
      <c r="G26" s="43">
        <v>3284700</v>
      </c>
      <c r="H26" s="88">
        <f>39600+646200</f>
        <v>685800</v>
      </c>
      <c r="I26" s="11" t="s">
        <v>231</v>
      </c>
      <c r="J26" s="10"/>
    </row>
    <row r="27" spans="1:10" s="10" customFormat="1" ht="84" customHeight="1">
      <c r="A27" s="38"/>
      <c r="B27" s="114" t="s">
        <v>38</v>
      </c>
      <c r="C27" s="115"/>
      <c r="D27" s="159">
        <v>5502864</v>
      </c>
      <c r="E27" s="159">
        <v>5485853.5999999996</v>
      </c>
      <c r="F27" s="160">
        <f>F28+F29+F30+F31+F32+F33+F34+F35+F36+F37+F39+F38+F40+F41</f>
        <v>827584100</v>
      </c>
      <c r="G27" s="160">
        <f t="shared" ref="G27:H27" si="6">G28+G29+G30+G31+G32+G33+G34+G35+G36+G37+G39+G38+G40+G41</f>
        <v>827923900</v>
      </c>
      <c r="H27" s="160">
        <f t="shared" si="6"/>
        <v>340386258.61000001</v>
      </c>
      <c r="I27" s="13"/>
    </row>
    <row r="28" spans="1:10" s="10" customFormat="1" ht="65.25" customHeight="1">
      <c r="A28" s="46"/>
      <c r="B28" s="124" t="s">
        <v>135</v>
      </c>
      <c r="C28" s="11" t="s">
        <v>128</v>
      </c>
      <c r="D28" s="12">
        <f>92023200</f>
        <v>92023200</v>
      </c>
      <c r="E28" s="12">
        <f>5078.9+92018121</f>
        <v>92023199.900000006</v>
      </c>
      <c r="F28" s="87">
        <v>96472200</v>
      </c>
      <c r="G28" s="87">
        <v>96472200</v>
      </c>
      <c r="H28" s="87">
        <f>48570658.03+2899.98</f>
        <v>48573558.009999998</v>
      </c>
      <c r="I28" s="13"/>
    </row>
    <row r="29" spans="1:10" s="10" customFormat="1" ht="42" customHeight="1">
      <c r="A29" s="47"/>
      <c r="B29" s="125"/>
      <c r="C29" s="21" t="s">
        <v>31</v>
      </c>
      <c r="D29" s="12">
        <f>65500+1000</f>
        <v>66500</v>
      </c>
      <c r="E29" s="12">
        <f>30998.81</f>
        <v>30998.81</v>
      </c>
      <c r="F29" s="87">
        <v>154400</v>
      </c>
      <c r="G29" s="35">
        <v>154400</v>
      </c>
      <c r="H29" s="87">
        <v>22588.48</v>
      </c>
      <c r="I29" s="11" t="s">
        <v>232</v>
      </c>
    </row>
    <row r="30" spans="1:10" s="10" customFormat="1" ht="42" customHeight="1">
      <c r="A30" s="47"/>
      <c r="B30" s="125"/>
      <c r="C30" s="22" t="s">
        <v>11</v>
      </c>
      <c r="D30" s="12">
        <v>1943000</v>
      </c>
      <c r="E30" s="12">
        <v>1885583</v>
      </c>
      <c r="F30" s="87">
        <v>1943000</v>
      </c>
      <c r="G30" s="35">
        <v>1943000</v>
      </c>
      <c r="H30" s="87">
        <v>173322</v>
      </c>
      <c r="I30" s="13"/>
    </row>
    <row r="31" spans="1:10" s="10" customFormat="1" ht="104.25" customHeight="1">
      <c r="A31" s="47"/>
      <c r="B31" s="125"/>
      <c r="C31" s="21" t="s">
        <v>21</v>
      </c>
      <c r="D31" s="12">
        <f>4530547.8+10000</f>
        <v>4540547.8</v>
      </c>
      <c r="E31" s="12">
        <f>2416482.69+4921.41</f>
        <v>2421404.1</v>
      </c>
      <c r="F31" s="87">
        <f>2444800+2112900</f>
        <v>4557700</v>
      </c>
      <c r="G31" s="87">
        <f>2444800+2112900</f>
        <v>4557700</v>
      </c>
      <c r="H31" s="87">
        <f>4489.55+2677306.65</f>
        <v>2681796.1999999997</v>
      </c>
      <c r="I31" s="11" t="s">
        <v>233</v>
      </c>
    </row>
    <row r="32" spans="1:10" s="10" customFormat="1" ht="62.25" customHeight="1">
      <c r="A32" s="47"/>
      <c r="B32" s="125"/>
      <c r="C32" s="15" t="s">
        <v>28</v>
      </c>
      <c r="D32" s="35">
        <v>12738000</v>
      </c>
      <c r="E32" s="13">
        <v>12738000</v>
      </c>
      <c r="F32" s="87">
        <v>12809200</v>
      </c>
      <c r="G32" s="87">
        <v>12809200</v>
      </c>
      <c r="H32" s="87">
        <f>5533491.12+2347.49</f>
        <v>5535838.6100000003</v>
      </c>
      <c r="I32" s="11" t="s">
        <v>234</v>
      </c>
    </row>
    <row r="33" spans="1:9" s="10" customFormat="1" ht="60.75" customHeight="1">
      <c r="A33" s="47"/>
      <c r="B33" s="125"/>
      <c r="C33" s="23" t="s">
        <v>30</v>
      </c>
      <c r="D33" s="24">
        <v>9152800</v>
      </c>
      <c r="E33" s="36">
        <v>8702567.5</v>
      </c>
      <c r="F33" s="86">
        <v>13317500</v>
      </c>
      <c r="G33" s="86">
        <v>13317500</v>
      </c>
      <c r="H33" s="86">
        <v>4775614.99</v>
      </c>
      <c r="I33" s="11" t="s">
        <v>235</v>
      </c>
    </row>
    <row r="34" spans="1:9" s="10" customFormat="1" ht="60.75" customHeight="1">
      <c r="A34" s="47"/>
      <c r="B34" s="125"/>
      <c r="C34" s="23" t="s">
        <v>129</v>
      </c>
      <c r="D34" s="24"/>
      <c r="E34" s="36"/>
      <c r="F34" s="86">
        <v>654084500</v>
      </c>
      <c r="G34" s="86">
        <v>654084500</v>
      </c>
      <c r="H34" s="86">
        <v>236600148.68000001</v>
      </c>
      <c r="I34" s="11" t="s">
        <v>236</v>
      </c>
    </row>
    <row r="35" spans="1:9" s="10" customFormat="1" ht="105.75" customHeight="1">
      <c r="A35" s="47"/>
      <c r="B35" s="125"/>
      <c r="C35" s="23" t="s">
        <v>130</v>
      </c>
      <c r="D35" s="24"/>
      <c r="E35" s="36"/>
      <c r="F35" s="86">
        <v>390000</v>
      </c>
      <c r="G35" s="86">
        <v>390000</v>
      </c>
      <c r="H35" s="86">
        <v>22600</v>
      </c>
      <c r="I35" s="11"/>
    </row>
    <row r="36" spans="1:9" s="10" customFormat="1" ht="73.5" hidden="1" customHeight="1">
      <c r="A36" s="47"/>
      <c r="B36" s="125"/>
      <c r="C36" s="23" t="s">
        <v>131</v>
      </c>
      <c r="D36" s="24"/>
      <c r="E36" s="36"/>
      <c r="F36" s="86">
        <v>0</v>
      </c>
      <c r="G36" s="36">
        <v>0</v>
      </c>
      <c r="H36" s="86">
        <v>0</v>
      </c>
      <c r="I36" s="11" t="s">
        <v>139</v>
      </c>
    </row>
    <row r="37" spans="1:9" s="10" customFormat="1" ht="105" hidden="1" customHeight="1">
      <c r="A37" s="47"/>
      <c r="B37" s="125"/>
      <c r="C37" s="23" t="s">
        <v>134</v>
      </c>
      <c r="D37" s="24"/>
      <c r="E37" s="36"/>
      <c r="F37" s="86">
        <v>0</v>
      </c>
      <c r="G37" s="36">
        <v>0</v>
      </c>
      <c r="H37" s="86">
        <v>0</v>
      </c>
      <c r="I37" s="11"/>
    </row>
    <row r="38" spans="1:9" s="10" customFormat="1" ht="105" customHeight="1">
      <c r="A38" s="47"/>
      <c r="B38" s="125"/>
      <c r="C38" s="23" t="s">
        <v>143</v>
      </c>
      <c r="D38" s="24"/>
      <c r="E38" s="36"/>
      <c r="F38" s="86">
        <v>200000</v>
      </c>
      <c r="G38" s="36">
        <v>200000</v>
      </c>
      <c r="H38" s="86">
        <v>93888</v>
      </c>
      <c r="I38" s="11"/>
    </row>
    <row r="39" spans="1:9" s="10" customFormat="1" ht="56.25">
      <c r="A39" s="48"/>
      <c r="B39" s="126"/>
      <c r="C39" s="23" t="s">
        <v>29</v>
      </c>
      <c r="D39" s="24">
        <v>39812000</v>
      </c>
      <c r="E39" s="36">
        <v>38602489.630000003</v>
      </c>
      <c r="F39" s="86">
        <v>43655600</v>
      </c>
      <c r="G39" s="36">
        <v>43995400</v>
      </c>
      <c r="H39" s="86">
        <v>41906903.640000001</v>
      </c>
      <c r="I39" s="11" t="s">
        <v>237</v>
      </c>
    </row>
    <row r="40" spans="1:9" s="10" customFormat="1" ht="93.75" hidden="1">
      <c r="A40" s="47"/>
      <c r="B40" s="85"/>
      <c r="C40" s="79" t="s">
        <v>195</v>
      </c>
      <c r="D40" s="24"/>
      <c r="E40" s="36"/>
      <c r="F40" s="36">
        <v>0</v>
      </c>
      <c r="G40" s="36">
        <v>0</v>
      </c>
      <c r="H40" s="72">
        <v>0</v>
      </c>
      <c r="I40" s="11"/>
    </row>
    <row r="41" spans="1:9" s="10" customFormat="1" ht="112.5" hidden="1">
      <c r="A41" s="47"/>
      <c r="B41" s="85"/>
      <c r="C41" s="79" t="s">
        <v>196</v>
      </c>
      <c r="D41" s="24"/>
      <c r="E41" s="36"/>
      <c r="F41" s="36">
        <v>0</v>
      </c>
      <c r="G41" s="36">
        <v>0</v>
      </c>
      <c r="H41" s="72">
        <v>0</v>
      </c>
      <c r="I41" s="11"/>
    </row>
    <row r="42" spans="1:9" s="10" customFormat="1" ht="114.75" customHeight="1">
      <c r="A42" s="152"/>
      <c r="B42" s="99" t="s">
        <v>97</v>
      </c>
      <c r="C42" s="100"/>
      <c r="D42" s="159">
        <v>2912300</v>
      </c>
      <c r="E42" s="159">
        <v>2899022.56</v>
      </c>
      <c r="F42" s="160">
        <f>F43+F44+F45+F46+F47+F48+F49+F50+F51+F52</f>
        <v>1186500</v>
      </c>
      <c r="G42" s="160">
        <f t="shared" ref="G42:H42" si="7">G43+G44+G45+G46+G47+G48+G49+G50+G51+G52</f>
        <v>2686500</v>
      </c>
      <c r="H42" s="160">
        <f t="shared" si="7"/>
        <v>831464.97</v>
      </c>
      <c r="I42" s="56"/>
    </row>
    <row r="43" spans="1:9" s="10" customFormat="1" ht="268.5" customHeight="1">
      <c r="A43" s="153"/>
      <c r="B43" s="127" t="s">
        <v>12</v>
      </c>
      <c r="C43" s="63" t="s">
        <v>146</v>
      </c>
      <c r="D43" s="28"/>
      <c r="E43" s="28"/>
      <c r="F43" s="53">
        <v>681800</v>
      </c>
      <c r="G43" s="43">
        <v>681800</v>
      </c>
      <c r="H43" s="53">
        <v>0</v>
      </c>
      <c r="I43" s="56" t="s">
        <v>238</v>
      </c>
    </row>
    <row r="44" spans="1:9" s="10" customFormat="1" ht="283.5" customHeight="1">
      <c r="A44" s="153"/>
      <c r="B44" s="128"/>
      <c r="C44" s="63" t="s">
        <v>148</v>
      </c>
      <c r="D44" s="28"/>
      <c r="E44" s="28"/>
      <c r="F44" s="53">
        <v>227300</v>
      </c>
      <c r="G44" s="43">
        <v>227300</v>
      </c>
      <c r="H44" s="53">
        <v>0</v>
      </c>
      <c r="I44" s="56" t="s">
        <v>239</v>
      </c>
    </row>
    <row r="45" spans="1:9" s="10" customFormat="1" ht="54.75" hidden="1" customHeight="1">
      <c r="A45" s="153"/>
      <c r="B45" s="128"/>
      <c r="C45" s="11" t="s">
        <v>151</v>
      </c>
      <c r="D45" s="28"/>
      <c r="E45" s="28"/>
      <c r="F45" s="53">
        <v>0</v>
      </c>
      <c r="G45" s="43">
        <v>0</v>
      </c>
      <c r="H45" s="53"/>
      <c r="I45" s="56"/>
    </row>
    <row r="46" spans="1:9" s="10" customFormat="1" ht="131.25" hidden="1">
      <c r="A46" s="153"/>
      <c r="B46" s="128"/>
      <c r="C46" s="83" t="s">
        <v>153</v>
      </c>
      <c r="D46" s="28"/>
      <c r="E46" s="28"/>
      <c r="F46" s="53">
        <v>0</v>
      </c>
      <c r="G46" s="43">
        <v>0</v>
      </c>
      <c r="H46" s="53"/>
      <c r="I46" s="56"/>
    </row>
    <row r="47" spans="1:9" s="10" customFormat="1" ht="168.75" hidden="1">
      <c r="A47" s="153"/>
      <c r="B47" s="128"/>
      <c r="C47" s="83" t="s">
        <v>155</v>
      </c>
      <c r="D47" s="28"/>
      <c r="E47" s="28"/>
      <c r="F47" s="53">
        <v>0</v>
      </c>
      <c r="G47" s="43">
        <v>0</v>
      </c>
      <c r="H47" s="53"/>
      <c r="I47" s="56"/>
    </row>
    <row r="48" spans="1:9" s="10" customFormat="1" ht="56.25">
      <c r="A48" s="153"/>
      <c r="B48" s="128"/>
      <c r="C48" s="83" t="s">
        <v>157</v>
      </c>
      <c r="D48" s="28"/>
      <c r="E48" s="28"/>
      <c r="F48" s="53">
        <v>49500</v>
      </c>
      <c r="G48" s="43">
        <v>49500</v>
      </c>
      <c r="H48" s="53">
        <v>0</v>
      </c>
      <c r="I48" s="56" t="s">
        <v>240</v>
      </c>
    </row>
    <row r="49" spans="1:9" s="10" customFormat="1" ht="93.75">
      <c r="A49" s="153"/>
      <c r="B49" s="128"/>
      <c r="C49" s="83" t="s">
        <v>159</v>
      </c>
      <c r="D49" s="28"/>
      <c r="E49" s="28"/>
      <c r="F49" s="53">
        <v>27900</v>
      </c>
      <c r="G49" s="43">
        <v>27900</v>
      </c>
      <c r="H49" s="53">
        <v>0</v>
      </c>
      <c r="I49" s="56" t="s">
        <v>241</v>
      </c>
    </row>
    <row r="50" spans="1:9" s="10" customFormat="1" ht="168.75">
      <c r="A50" s="153"/>
      <c r="B50" s="128"/>
      <c r="C50" s="11" t="s">
        <v>150</v>
      </c>
      <c r="D50" s="28"/>
      <c r="E50" s="28"/>
      <c r="F50" s="53">
        <v>200000</v>
      </c>
      <c r="G50" s="43">
        <v>200000</v>
      </c>
      <c r="H50" s="53">
        <v>90364.97</v>
      </c>
      <c r="I50" s="56"/>
    </row>
    <row r="51" spans="1:9" s="10" customFormat="1" hidden="1">
      <c r="A51" s="153"/>
      <c r="B51" s="128"/>
      <c r="C51" s="62" t="s">
        <v>144</v>
      </c>
      <c r="D51" s="28"/>
      <c r="E51" s="28"/>
      <c r="F51" s="53">
        <v>0</v>
      </c>
      <c r="G51" s="43">
        <v>0</v>
      </c>
      <c r="H51" s="53">
        <v>0</v>
      </c>
      <c r="I51" s="56"/>
    </row>
    <row r="52" spans="1:9" s="10" customFormat="1" ht="37.5">
      <c r="A52" s="153"/>
      <c r="B52" s="128"/>
      <c r="C52" s="11" t="s">
        <v>145</v>
      </c>
      <c r="D52" s="28"/>
      <c r="E52" s="28"/>
      <c r="F52" s="53">
        <v>0</v>
      </c>
      <c r="G52" s="43">
        <v>1500000</v>
      </c>
      <c r="H52" s="53">
        <v>741100</v>
      </c>
      <c r="I52" s="56"/>
    </row>
    <row r="53" spans="1:9" s="10" customFormat="1" ht="96" customHeight="1">
      <c r="A53" s="124"/>
      <c r="B53" s="114" t="s">
        <v>98</v>
      </c>
      <c r="C53" s="115"/>
      <c r="D53" s="159">
        <f>13004200+D66+D67</f>
        <v>321082200</v>
      </c>
      <c r="E53" s="159">
        <f>E66+E67+12824804.28</f>
        <v>240324804.28</v>
      </c>
      <c r="F53" s="159">
        <f>F54+F55+F56+F57+F58+F59+F60+F61+F62+F63+F64+F65+F66+F67</f>
        <v>29281800</v>
      </c>
      <c r="G53" s="159">
        <f t="shared" ref="G53" si="8">G54+G55+G56+G57+G58+G59+G60+G61+G62+G63+G64+G65+G66+G67</f>
        <v>35081000</v>
      </c>
      <c r="H53" s="159">
        <f>H54+H55+H56+H57+H58+H59+H60+H61+H62+H63+H64+H65+H66+H67</f>
        <v>11552780</v>
      </c>
      <c r="I53" s="70"/>
    </row>
    <row r="54" spans="1:9" s="10" customFormat="1" ht="131.25" hidden="1">
      <c r="A54" s="125"/>
      <c r="B54" s="127" t="s">
        <v>12</v>
      </c>
      <c r="C54" s="67" t="s">
        <v>161</v>
      </c>
      <c r="D54" s="64"/>
      <c r="E54" s="64"/>
      <c r="F54" s="65">
        <v>0</v>
      </c>
      <c r="G54" s="65">
        <v>0</v>
      </c>
      <c r="H54" s="73">
        <v>0</v>
      </c>
      <c r="I54" s="83"/>
    </row>
    <row r="55" spans="1:9" s="10" customFormat="1" ht="56.25" hidden="1">
      <c r="A55" s="125"/>
      <c r="B55" s="128"/>
      <c r="C55" s="67" t="s">
        <v>162</v>
      </c>
      <c r="D55" s="64"/>
      <c r="E55" s="64"/>
      <c r="F55" s="65">
        <v>0</v>
      </c>
      <c r="G55" s="65">
        <v>0</v>
      </c>
      <c r="H55" s="73">
        <v>0</v>
      </c>
      <c r="I55" s="83"/>
    </row>
    <row r="56" spans="1:9" s="10" customFormat="1" ht="75">
      <c r="A56" s="125"/>
      <c r="B56" s="128"/>
      <c r="C56" s="67" t="s">
        <v>163</v>
      </c>
      <c r="D56" s="64"/>
      <c r="E56" s="64"/>
      <c r="F56" s="65">
        <v>0</v>
      </c>
      <c r="G56" s="65">
        <v>2000000</v>
      </c>
      <c r="H56" s="90">
        <f>53280+1700000</f>
        <v>1753280</v>
      </c>
      <c r="I56" s="83"/>
    </row>
    <row r="57" spans="1:9" s="10" customFormat="1" ht="75">
      <c r="A57" s="125"/>
      <c r="B57" s="128"/>
      <c r="C57" s="67" t="s">
        <v>165</v>
      </c>
      <c r="D57" s="64"/>
      <c r="E57" s="64"/>
      <c r="F57" s="65">
        <v>0</v>
      </c>
      <c r="G57" s="65">
        <v>1810500</v>
      </c>
      <c r="H57" s="73">
        <v>1045400</v>
      </c>
      <c r="I57" s="66"/>
    </row>
    <row r="58" spans="1:9" s="10" customFormat="1" ht="56.25">
      <c r="A58" s="125"/>
      <c r="B58" s="128"/>
      <c r="C58" s="67" t="s">
        <v>164</v>
      </c>
      <c r="D58" s="64"/>
      <c r="E58" s="64"/>
      <c r="F58" s="65">
        <v>0</v>
      </c>
      <c r="G58" s="65">
        <v>1644600</v>
      </c>
      <c r="H58" s="73">
        <v>1100000</v>
      </c>
      <c r="I58" s="66"/>
    </row>
    <row r="59" spans="1:9" s="10" customFormat="1" ht="93.75">
      <c r="A59" s="125"/>
      <c r="B59" s="128"/>
      <c r="C59" s="67" t="s">
        <v>166</v>
      </c>
      <c r="D59" s="64"/>
      <c r="E59" s="64"/>
      <c r="F59" s="65">
        <v>2300000</v>
      </c>
      <c r="G59" s="65">
        <v>2100000</v>
      </c>
      <c r="H59" s="73">
        <v>310000</v>
      </c>
      <c r="I59" s="83"/>
    </row>
    <row r="60" spans="1:9" s="10" customFormat="1" ht="106.5" customHeight="1">
      <c r="A60" s="125"/>
      <c r="B60" s="128"/>
      <c r="C60" s="67" t="s">
        <v>167</v>
      </c>
      <c r="D60" s="64"/>
      <c r="E60" s="64"/>
      <c r="F60" s="65">
        <v>0</v>
      </c>
      <c r="G60" s="65">
        <v>200000</v>
      </c>
      <c r="H60" s="73">
        <v>0</v>
      </c>
      <c r="I60" s="83"/>
    </row>
    <row r="61" spans="1:9" s="10" customFormat="1" ht="56.25">
      <c r="A61" s="125"/>
      <c r="B61" s="128"/>
      <c r="C61" s="67" t="s">
        <v>168</v>
      </c>
      <c r="D61" s="64"/>
      <c r="E61" s="64"/>
      <c r="F61" s="65">
        <v>0</v>
      </c>
      <c r="G61" s="65">
        <f>234000+110100</f>
        <v>344100</v>
      </c>
      <c r="H61" s="73">
        <f>23400+210600+11000+99100</f>
        <v>344100</v>
      </c>
      <c r="I61" s="11" t="s">
        <v>220</v>
      </c>
    </row>
    <row r="62" spans="1:9" s="10" customFormat="1" ht="56.25" hidden="1">
      <c r="A62" s="125"/>
      <c r="B62" s="128"/>
      <c r="C62" s="67" t="s">
        <v>170</v>
      </c>
      <c r="D62" s="64"/>
      <c r="E62" s="64"/>
      <c r="F62" s="65">
        <v>0</v>
      </c>
      <c r="G62" s="65">
        <v>0</v>
      </c>
      <c r="H62" s="73">
        <v>0</v>
      </c>
      <c r="I62" s="83"/>
    </row>
    <row r="63" spans="1:9" s="10" customFormat="1" ht="56.25" hidden="1">
      <c r="A63" s="125"/>
      <c r="B63" s="128"/>
      <c r="C63" s="67" t="s">
        <v>171</v>
      </c>
      <c r="D63" s="64"/>
      <c r="E63" s="64"/>
      <c r="F63" s="65">
        <v>0</v>
      </c>
      <c r="G63" s="65">
        <v>0</v>
      </c>
      <c r="H63" s="73">
        <v>0</v>
      </c>
      <c r="I63" s="83"/>
    </row>
    <row r="64" spans="1:9" s="10" customFormat="1" ht="37.5" hidden="1">
      <c r="A64" s="125"/>
      <c r="B64" s="128"/>
      <c r="C64" s="67" t="s">
        <v>172</v>
      </c>
      <c r="D64" s="64"/>
      <c r="E64" s="64"/>
      <c r="F64" s="65">
        <v>0</v>
      </c>
      <c r="G64" s="65">
        <v>0</v>
      </c>
      <c r="H64" s="73">
        <v>0</v>
      </c>
      <c r="I64" s="83"/>
    </row>
    <row r="65" spans="1:9" s="10" customFormat="1" ht="56.25" hidden="1">
      <c r="A65" s="125"/>
      <c r="B65" s="128"/>
      <c r="C65" s="67" t="s">
        <v>173</v>
      </c>
      <c r="D65" s="64"/>
      <c r="E65" s="64"/>
      <c r="F65" s="65">
        <v>0</v>
      </c>
      <c r="G65" s="65">
        <v>0</v>
      </c>
      <c r="H65" s="73">
        <v>0</v>
      </c>
      <c r="I65" s="83"/>
    </row>
    <row r="66" spans="1:9" s="10" customFormat="1" ht="60" customHeight="1">
      <c r="A66" s="125"/>
      <c r="B66" s="128"/>
      <c r="C66" s="68" t="s">
        <v>55</v>
      </c>
      <c r="D66" s="84">
        <v>5000000</v>
      </c>
      <c r="E66" s="84">
        <v>5000000</v>
      </c>
      <c r="F66" s="65">
        <v>7000000</v>
      </c>
      <c r="G66" s="65">
        <v>7000000</v>
      </c>
      <c r="H66" s="90">
        <v>7000000</v>
      </c>
      <c r="I66" s="11"/>
    </row>
    <row r="67" spans="1:9" s="10" customFormat="1" ht="37.5">
      <c r="A67" s="126"/>
      <c r="B67" s="129"/>
      <c r="C67" s="69" t="s">
        <v>23</v>
      </c>
      <c r="D67" s="12">
        <f>60500000+242578000</f>
        <v>303078000</v>
      </c>
      <c r="E67" s="12">
        <f t="shared" ref="E67" si="9">60500000+162000000</f>
        <v>222500000</v>
      </c>
      <c r="F67" s="43">
        <v>19981800</v>
      </c>
      <c r="G67" s="43">
        <v>19981800</v>
      </c>
      <c r="H67" s="53">
        <v>0</v>
      </c>
      <c r="I67" s="11"/>
    </row>
    <row r="68" spans="1:9" s="10" customFormat="1" ht="86.25" customHeight="1">
      <c r="A68" s="124"/>
      <c r="B68" s="99" t="s">
        <v>41</v>
      </c>
      <c r="C68" s="100"/>
      <c r="D68" s="159">
        <f>2120000+160000+117000+72000</f>
        <v>2469000</v>
      </c>
      <c r="E68" s="159">
        <f t="shared" ref="E68" si="10">2120000+160000+117000+72000</f>
        <v>2469000</v>
      </c>
      <c r="F68" s="160">
        <f>F69+F70+F71+F72+F73+F74+F75+F76+F77+F78+F79+F80+F81+F82+F83+F84+F85+F86</f>
        <v>826830700</v>
      </c>
      <c r="G68" s="160">
        <f>G69+G70+G71+G72+G73+G74+G75+G76+G77+G78+G79+G80+G81+G82+G83+G84+G85+G86</f>
        <v>892928700</v>
      </c>
      <c r="H68" s="160">
        <f>H69+H70+H71+H72+H73+H74+H75+H76+H77+H78+H79+H80+H81+H82+H83+H84+H85+H86</f>
        <v>428313429.50999999</v>
      </c>
      <c r="I68" s="11"/>
    </row>
    <row r="69" spans="1:9" s="10" customFormat="1" ht="37.5">
      <c r="A69" s="125"/>
      <c r="B69" s="154" t="s">
        <v>135</v>
      </c>
      <c r="C69" s="11" t="s">
        <v>26</v>
      </c>
      <c r="D69" s="12">
        <v>100375000</v>
      </c>
      <c r="E69" s="12">
        <v>100375000</v>
      </c>
      <c r="F69" s="88">
        <v>132000000</v>
      </c>
      <c r="G69" s="88">
        <v>132000000</v>
      </c>
      <c r="H69" s="88">
        <f>8380+72355675.73</f>
        <v>72364055.730000004</v>
      </c>
      <c r="I69" s="13"/>
    </row>
    <row r="70" spans="1:9" s="10" customFormat="1" ht="37.5">
      <c r="A70" s="125"/>
      <c r="B70" s="155"/>
      <c r="C70" s="11" t="s">
        <v>8</v>
      </c>
      <c r="D70" s="12">
        <v>15000</v>
      </c>
      <c r="E70" s="12">
        <v>0</v>
      </c>
      <c r="F70" s="88">
        <v>30000</v>
      </c>
      <c r="G70" s="88">
        <v>30000</v>
      </c>
      <c r="H70" s="88">
        <v>0</v>
      </c>
      <c r="I70" s="13"/>
    </row>
    <row r="71" spans="1:9" s="10" customFormat="1" ht="37.5">
      <c r="A71" s="125"/>
      <c r="B71" s="155"/>
      <c r="C71" s="11" t="s">
        <v>9</v>
      </c>
      <c r="D71" s="12">
        <v>600000</v>
      </c>
      <c r="E71" s="12">
        <v>600000</v>
      </c>
      <c r="F71" s="88">
        <v>600000</v>
      </c>
      <c r="G71" s="88">
        <v>600000</v>
      </c>
      <c r="H71" s="88">
        <v>0</v>
      </c>
      <c r="I71" s="13"/>
    </row>
    <row r="72" spans="1:9" s="10" customFormat="1" ht="56.25">
      <c r="A72" s="125"/>
      <c r="B72" s="155"/>
      <c r="C72" s="23" t="s">
        <v>20</v>
      </c>
      <c r="D72" s="12">
        <f>221495400+183735800</f>
        <v>405231200</v>
      </c>
      <c r="E72" s="12">
        <f t="shared" ref="E72" si="11">221495400+183735800</f>
        <v>405231200</v>
      </c>
      <c r="F72" s="88">
        <f>289580700+153203200</f>
        <v>442783900</v>
      </c>
      <c r="G72" s="88">
        <f>289580700+153203200</f>
        <v>442783900</v>
      </c>
      <c r="H72" s="88">
        <v>231315362.84999999</v>
      </c>
      <c r="I72" s="11" t="s">
        <v>242</v>
      </c>
    </row>
    <row r="73" spans="1:9" s="10" customFormat="1" ht="56.25">
      <c r="A73" s="125"/>
      <c r="B73" s="155"/>
      <c r="C73" s="22" t="s">
        <v>10</v>
      </c>
      <c r="D73" s="12">
        <f>44300+1000</f>
        <v>45300</v>
      </c>
      <c r="E73" s="12">
        <v>0</v>
      </c>
      <c r="F73" s="88">
        <v>53300</v>
      </c>
      <c r="G73" s="88">
        <v>53300</v>
      </c>
      <c r="H73" s="88">
        <v>0</v>
      </c>
      <c r="I73" s="11" t="s">
        <v>243</v>
      </c>
    </row>
    <row r="74" spans="1:9" s="10" customFormat="1" ht="56.25">
      <c r="A74" s="125"/>
      <c r="B74" s="155"/>
      <c r="C74" s="22" t="s">
        <v>56</v>
      </c>
      <c r="D74" s="12">
        <f>38313700+13169600</f>
        <v>51483300</v>
      </c>
      <c r="E74" s="12">
        <f t="shared" ref="E74" si="12">38313700+13169600</f>
        <v>51483300</v>
      </c>
      <c r="F74" s="88">
        <v>38313700</v>
      </c>
      <c r="G74" s="88">
        <v>38313700</v>
      </c>
      <c r="H74" s="88">
        <v>17802937</v>
      </c>
      <c r="I74" s="11"/>
    </row>
    <row r="75" spans="1:9" s="10" customFormat="1" ht="93.75">
      <c r="A75" s="125"/>
      <c r="B75" s="155"/>
      <c r="C75" s="34" t="s">
        <v>34</v>
      </c>
      <c r="D75" s="13">
        <v>38100</v>
      </c>
      <c r="E75" s="36">
        <v>12855.37</v>
      </c>
      <c r="F75" s="89">
        <v>25300</v>
      </c>
      <c r="G75" s="89">
        <v>25300</v>
      </c>
      <c r="H75" s="89">
        <v>0</v>
      </c>
      <c r="I75" s="11" t="s">
        <v>229</v>
      </c>
    </row>
    <row r="76" spans="1:9" s="10" customFormat="1" ht="112.5">
      <c r="A76" s="125"/>
      <c r="B76" s="155"/>
      <c r="C76" s="34" t="s">
        <v>35</v>
      </c>
      <c r="D76" s="24">
        <v>4036300</v>
      </c>
      <c r="E76" s="36">
        <v>3469266.14</v>
      </c>
      <c r="F76" s="89">
        <v>5012300</v>
      </c>
      <c r="G76" s="89">
        <v>5012300</v>
      </c>
      <c r="H76" s="89">
        <v>1762240.79</v>
      </c>
      <c r="I76" s="11" t="s">
        <v>244</v>
      </c>
    </row>
    <row r="77" spans="1:9" s="10" customFormat="1" ht="75" hidden="1" customHeight="1">
      <c r="A77" s="125"/>
      <c r="B77" s="155"/>
      <c r="C77" s="34" t="s">
        <v>178</v>
      </c>
      <c r="D77" s="24"/>
      <c r="E77" s="36"/>
      <c r="F77" s="71">
        <v>0</v>
      </c>
      <c r="G77" s="89">
        <v>0</v>
      </c>
      <c r="H77" s="89">
        <v>0</v>
      </c>
      <c r="I77" s="11"/>
    </row>
    <row r="78" spans="1:9" s="10" customFormat="1" ht="56.25" hidden="1" customHeight="1">
      <c r="A78" s="125"/>
      <c r="B78" s="155"/>
      <c r="C78" s="34" t="s">
        <v>179</v>
      </c>
      <c r="D78" s="24"/>
      <c r="E78" s="36"/>
      <c r="F78" s="71">
        <v>0</v>
      </c>
      <c r="G78" s="89">
        <v>0</v>
      </c>
      <c r="H78" s="89">
        <v>0</v>
      </c>
      <c r="I78" s="11"/>
    </row>
    <row r="79" spans="1:9" s="10" customFormat="1" ht="56.25" hidden="1" customHeight="1">
      <c r="A79" s="125"/>
      <c r="B79" s="155"/>
      <c r="C79" s="34" t="s">
        <v>180</v>
      </c>
      <c r="D79" s="24"/>
      <c r="E79" s="36"/>
      <c r="F79" s="71">
        <v>0</v>
      </c>
      <c r="G79" s="89">
        <v>0</v>
      </c>
      <c r="H79" s="89">
        <v>0</v>
      </c>
      <c r="I79" s="11"/>
    </row>
    <row r="80" spans="1:9" s="10" customFormat="1" ht="56.25">
      <c r="A80" s="125"/>
      <c r="B80" s="155"/>
      <c r="C80" s="34" t="s">
        <v>183</v>
      </c>
      <c r="D80" s="24"/>
      <c r="E80" s="36"/>
      <c r="F80" s="71">
        <v>0</v>
      </c>
      <c r="G80" s="89">
        <v>110000</v>
      </c>
      <c r="H80" s="89">
        <v>110000</v>
      </c>
      <c r="I80" s="11"/>
    </row>
    <row r="81" spans="1:9" s="10" customFormat="1" ht="93.75" hidden="1">
      <c r="A81" s="125"/>
      <c r="B81" s="155"/>
      <c r="C81" s="34" t="s">
        <v>184</v>
      </c>
      <c r="D81" s="24"/>
      <c r="E81" s="36"/>
      <c r="F81" s="71">
        <v>0</v>
      </c>
      <c r="G81" s="89">
        <v>0</v>
      </c>
      <c r="H81" s="89">
        <v>0</v>
      </c>
      <c r="I81" s="11"/>
    </row>
    <row r="82" spans="1:9" s="10" customFormat="1" ht="93.75">
      <c r="A82" s="125"/>
      <c r="B82" s="155"/>
      <c r="C82" s="34" t="s">
        <v>185</v>
      </c>
      <c r="D82" s="24"/>
      <c r="E82" s="36"/>
      <c r="F82" s="71">
        <v>0</v>
      </c>
      <c r="G82" s="89">
        <f>20000+30000</f>
        <v>50000</v>
      </c>
      <c r="H82" s="89">
        <v>20000</v>
      </c>
      <c r="I82" s="11"/>
    </row>
    <row r="83" spans="1:9" s="10" customFormat="1" ht="62.25" hidden="1" customHeight="1">
      <c r="A83" s="125"/>
      <c r="B83" s="155"/>
      <c r="C83" s="34" t="s">
        <v>186</v>
      </c>
      <c r="D83" s="24"/>
      <c r="E83" s="36"/>
      <c r="F83" s="71">
        <v>0</v>
      </c>
      <c r="G83" s="89">
        <v>0</v>
      </c>
      <c r="H83" s="89">
        <v>0</v>
      </c>
      <c r="I83" s="11"/>
    </row>
    <row r="84" spans="1:9" s="10" customFormat="1" ht="131.25">
      <c r="A84" s="126"/>
      <c r="B84" s="155"/>
      <c r="C84" s="34" t="s">
        <v>36</v>
      </c>
      <c r="D84" s="24">
        <v>188484500</v>
      </c>
      <c r="E84" s="36">
        <v>188484500</v>
      </c>
      <c r="F84" s="89">
        <v>208012200</v>
      </c>
      <c r="G84" s="89">
        <v>208012200</v>
      </c>
      <c r="H84" s="89">
        <v>90826920.260000005</v>
      </c>
      <c r="I84" s="11" t="s">
        <v>245</v>
      </c>
    </row>
    <row r="85" spans="1:9" s="10" customFormat="1" ht="112.5" hidden="1">
      <c r="A85" s="32"/>
      <c r="B85" s="155"/>
      <c r="C85" s="27" t="s">
        <v>188</v>
      </c>
      <c r="D85" s="12"/>
      <c r="E85" s="28"/>
      <c r="F85" s="43">
        <v>0</v>
      </c>
      <c r="G85" s="88">
        <v>0</v>
      </c>
      <c r="H85" s="88">
        <v>0</v>
      </c>
      <c r="I85" s="13"/>
    </row>
    <row r="86" spans="1:9" s="10" customFormat="1" ht="93.75" customHeight="1">
      <c r="A86" s="32"/>
      <c r="B86" s="156"/>
      <c r="C86" s="27" t="s">
        <v>217</v>
      </c>
      <c r="D86" s="12"/>
      <c r="E86" s="28"/>
      <c r="F86" s="43">
        <v>0</v>
      </c>
      <c r="G86" s="88">
        <v>65938000</v>
      </c>
      <c r="H86" s="88">
        <v>14111912.880000001</v>
      </c>
      <c r="I86" s="11" t="s">
        <v>246</v>
      </c>
    </row>
    <row r="87" spans="1:9" s="10" customFormat="1" ht="66.75" customHeight="1">
      <c r="A87" s="38">
        <v>5</v>
      </c>
      <c r="B87" s="101" t="s">
        <v>22</v>
      </c>
      <c r="C87" s="102"/>
      <c r="D87" s="9">
        <v>33309103</v>
      </c>
      <c r="E87" s="9">
        <v>33309102.949999999</v>
      </c>
      <c r="F87" s="51">
        <v>47483700</v>
      </c>
      <c r="G87" s="51">
        <v>47483700</v>
      </c>
      <c r="H87" s="51">
        <v>24046925.129999999</v>
      </c>
      <c r="I87" s="13"/>
    </row>
    <row r="88" spans="1:9" s="10" customFormat="1" ht="144" customHeight="1">
      <c r="A88" s="39">
        <v>6</v>
      </c>
      <c r="B88" s="148" t="s">
        <v>43</v>
      </c>
      <c r="C88" s="148"/>
      <c r="D88" s="40">
        <v>3152500</v>
      </c>
      <c r="E88" s="40">
        <v>3130229.34</v>
      </c>
      <c r="F88" s="54">
        <v>2937700</v>
      </c>
      <c r="G88" s="54">
        <v>2937700</v>
      </c>
      <c r="H88" s="54">
        <v>1346284.12</v>
      </c>
      <c r="I88" s="13"/>
    </row>
    <row r="89" spans="1:9" s="10" customFormat="1" ht="68.25" customHeight="1">
      <c r="A89" s="39">
        <v>7</v>
      </c>
      <c r="B89" s="149" t="s">
        <v>102</v>
      </c>
      <c r="C89" s="149"/>
      <c r="D89" s="41">
        <v>2633900</v>
      </c>
      <c r="E89" s="41">
        <v>1740839.97</v>
      </c>
      <c r="F89" s="54">
        <v>0</v>
      </c>
      <c r="G89" s="54">
        <v>0</v>
      </c>
      <c r="H89" s="54">
        <v>0</v>
      </c>
      <c r="I89" s="11"/>
    </row>
    <row r="90" spans="1:9" s="10" customFormat="1" ht="60" customHeight="1">
      <c r="A90" s="39">
        <v>8</v>
      </c>
      <c r="B90" s="144" t="s">
        <v>127</v>
      </c>
      <c r="C90" s="144"/>
      <c r="D90" s="41">
        <v>100000</v>
      </c>
      <c r="E90" s="41">
        <v>100000</v>
      </c>
      <c r="F90" s="54">
        <v>0</v>
      </c>
      <c r="G90" s="54">
        <v>920000</v>
      </c>
      <c r="H90" s="54">
        <v>920000</v>
      </c>
      <c r="I90" s="11"/>
    </row>
    <row r="91" spans="1:9" s="10" customFormat="1" ht="60" customHeight="1">
      <c r="A91" s="39">
        <v>9</v>
      </c>
      <c r="B91" s="157" t="s">
        <v>194</v>
      </c>
      <c r="C91" s="158"/>
      <c r="D91" s="41"/>
      <c r="E91" s="41"/>
      <c r="F91" s="54">
        <v>0</v>
      </c>
      <c r="G91" s="54">
        <v>0</v>
      </c>
      <c r="H91" s="54">
        <v>0</v>
      </c>
      <c r="I91" s="11"/>
    </row>
    <row r="92" spans="1:9" s="10" customFormat="1" ht="60" customHeight="1">
      <c r="A92" s="39">
        <v>10</v>
      </c>
      <c r="B92" s="157" t="s">
        <v>221</v>
      </c>
      <c r="C92" s="158"/>
      <c r="D92" s="41"/>
      <c r="E92" s="41"/>
      <c r="F92" s="54">
        <v>0</v>
      </c>
      <c r="G92" s="54">
        <v>3700000</v>
      </c>
      <c r="H92" s="54">
        <f>591902+85623.6</f>
        <v>677525.6</v>
      </c>
      <c r="I92" s="11"/>
    </row>
    <row r="93" spans="1:9" s="10" customFormat="1" ht="39" customHeight="1">
      <c r="A93" s="31"/>
      <c r="B93" s="132" t="s">
        <v>58</v>
      </c>
      <c r="C93" s="133"/>
      <c r="D93" s="58" t="e">
        <f>D4+D8+D14+D20+#REF!+D87+D88+D89+D90</f>
        <v>#REF!</v>
      </c>
      <c r="E93" s="58" t="e">
        <f>E4+E8+E14+E20+#REF!+E87+E88+E89+E90</f>
        <v>#REF!</v>
      </c>
      <c r="F93" s="59">
        <f>F4+F8+F14+F20+F87+F88+F89+F90+F91+F92</f>
        <v>3094867700</v>
      </c>
      <c r="G93" s="59">
        <f>G4+G8+G14+G20+G87+G88+G89+G90+G91+G92</f>
        <v>3187462700</v>
      </c>
      <c r="H93" s="59">
        <f t="shared" ref="H93" si="13">H4+H8+H14+H20+H87+H88+H89+H90+H91+H92</f>
        <v>1467187829.6699998</v>
      </c>
      <c r="I93" s="35"/>
    </row>
    <row r="94" spans="1:9" s="10" customFormat="1">
      <c r="C94" s="29"/>
    </row>
    <row r="95" spans="1:9" s="10" customFormat="1"/>
    <row r="96" spans="1:9" s="10" customFormat="1"/>
    <row r="107" spans="3:3">
      <c r="C107" s="4"/>
    </row>
    <row r="109" spans="3:3">
      <c r="C109" s="4"/>
    </row>
    <row r="706" spans="5:8">
      <c r="E706" s="2"/>
      <c r="F706" s="2"/>
      <c r="G706" s="2"/>
      <c r="H706" s="2"/>
    </row>
  </sheetData>
  <mergeCells count="44">
    <mergeCell ref="H2:H3"/>
    <mergeCell ref="I2:I3"/>
    <mergeCell ref="A4:A7"/>
    <mergeCell ref="B4:C4"/>
    <mergeCell ref="I4:I7"/>
    <mergeCell ref="B5:B7"/>
    <mergeCell ref="A2:A3"/>
    <mergeCell ref="B2:C3"/>
    <mergeCell ref="D2:D3"/>
    <mergeCell ref="E2:E3"/>
    <mergeCell ref="F2:F3"/>
    <mergeCell ref="G2:G3"/>
    <mergeCell ref="B25:C25"/>
    <mergeCell ref="A8:A13"/>
    <mergeCell ref="B8:C8"/>
    <mergeCell ref="I8:I13"/>
    <mergeCell ref="B9:B13"/>
    <mergeCell ref="A14:A19"/>
    <mergeCell ref="I14:I19"/>
    <mergeCell ref="B15:B19"/>
    <mergeCell ref="B20:C20"/>
    <mergeCell ref="B21:C21"/>
    <mergeCell ref="B22:C22"/>
    <mergeCell ref="B23:C23"/>
    <mergeCell ref="B24:C24"/>
    <mergeCell ref="B26:C26"/>
    <mergeCell ref="B27:C27"/>
    <mergeCell ref="B28:B39"/>
    <mergeCell ref="A42:A52"/>
    <mergeCell ref="B42:C42"/>
    <mergeCell ref="B43:B52"/>
    <mergeCell ref="A53:A67"/>
    <mergeCell ref="B53:C53"/>
    <mergeCell ref="B54:B67"/>
    <mergeCell ref="A68:A84"/>
    <mergeCell ref="B68:C68"/>
    <mergeCell ref="B69:B86"/>
    <mergeCell ref="B93:C93"/>
    <mergeCell ref="B87:C87"/>
    <mergeCell ref="B88:C88"/>
    <mergeCell ref="B89:C89"/>
    <mergeCell ref="B90:C90"/>
    <mergeCell ref="B91:C91"/>
    <mergeCell ref="B92:C92"/>
  </mergeCells>
  <pageMargins left="0.15748031496062992" right="0.15748031496062992" top="0.19685039370078741" bottom="0.19685039370078741" header="0.15748031496062992" footer="0.15748031496062992"/>
  <pageSetup paperSize="9" scale="5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департ.соцзащита 2016</vt:lpstr>
      <vt:lpstr>департ.соцзащита 2017</vt:lpstr>
      <vt:lpstr>департ.соцзащ2017 (I полугодие)</vt:lpstr>
      <vt:lpstr>департ.соцзащ2017 (год)</vt:lpstr>
      <vt:lpstr>министерст.соцзащ 1 кв 2018</vt:lpstr>
      <vt:lpstr>министерст.соцзащ 1полугод 2018</vt:lpstr>
      <vt:lpstr>'департ.соцзащ2017 (I полугодие)'!Заголовки_для_печати</vt:lpstr>
      <vt:lpstr>'департ.соцзащ2017 (год)'!Заголовки_для_печати</vt:lpstr>
      <vt:lpstr>'департ.соцзащита 2016'!Заголовки_для_печати</vt:lpstr>
      <vt:lpstr>'департ.соцзащита 2017'!Заголовки_для_печати</vt:lpstr>
      <vt:lpstr>'министерст.соцзащ 1 кв 2018'!Заголовки_для_печати</vt:lpstr>
      <vt:lpstr>'министерст.соцзащ 1полугод 2018'!Заголовки_для_печати</vt:lpstr>
      <vt:lpstr>'департ.соцзащ2017 (I полугодие)'!Область_печати</vt:lpstr>
      <vt:lpstr>'департ.соцзащ2017 (год)'!Область_печати</vt:lpstr>
      <vt:lpstr>'департ.соцзащита 2016'!Область_печати</vt:lpstr>
      <vt:lpstr>'департ.соцзащита 2017'!Область_печати</vt:lpstr>
      <vt:lpstr>'министерст.соцзащ 1 кв 2018'!Область_печати</vt:lpstr>
      <vt:lpstr>'министерст.соцзащ 1полугод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Ежова Ирина Сергеевна</dc:creator>
  <cp:lastModifiedBy>sina</cp:lastModifiedBy>
  <cp:lastPrinted>2018-07-20T12:57:51Z</cp:lastPrinted>
  <dcterms:created xsi:type="dcterms:W3CDTF">2015-08-14T11:09:49Z</dcterms:created>
  <dcterms:modified xsi:type="dcterms:W3CDTF">2018-07-20T12:57:59Z</dcterms:modified>
</cp:coreProperties>
</file>